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tabRatio="649"/>
  </bookViews>
  <sheets>
    <sheet name="Bedarfsanalyse neu gemäß B-Plan" sheetId="16" r:id="rId1"/>
    <sheet name="Bedarfsanalyse (Rahmenplan)" sheetId="10" r:id="rId2"/>
    <sheet name="Grafiken (Rahmenplan)" sheetId="7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4" i="16" l="1"/>
  <c r="BD14" i="16" s="1"/>
  <c r="BC15" i="16"/>
  <c r="BD15" i="16" s="1"/>
  <c r="BC16" i="16"/>
  <c r="BD16" i="16" s="1"/>
  <c r="BC17" i="16"/>
  <c r="BD17" i="16" s="1"/>
  <c r="BC18" i="16"/>
  <c r="BD18" i="16" s="1"/>
  <c r="BC19" i="16"/>
  <c r="BD19" i="16" s="1"/>
  <c r="BC20" i="16"/>
  <c r="BD20" i="16" s="1"/>
  <c r="BC21" i="16"/>
  <c r="BD21" i="16" s="1"/>
  <c r="BC22" i="16"/>
  <c r="BD22" i="16" s="1"/>
  <c r="BC23" i="16"/>
  <c r="BD23" i="16" s="1"/>
  <c r="BC24" i="16"/>
  <c r="BD24" i="16" s="1"/>
  <c r="BC25" i="16"/>
  <c r="BD25" i="16" s="1"/>
  <c r="BC26" i="16"/>
  <c r="BD26" i="16" s="1"/>
  <c r="BC27" i="16"/>
  <c r="BD27" i="16" s="1"/>
  <c r="BC28" i="16"/>
  <c r="BD28" i="16" s="1"/>
  <c r="BC29" i="16"/>
  <c r="BD29" i="16" s="1"/>
  <c r="BC30" i="16"/>
  <c r="BD30" i="16" s="1"/>
  <c r="BC31" i="16"/>
  <c r="BD31" i="16" s="1"/>
  <c r="BC32" i="16"/>
  <c r="BD32" i="16" s="1"/>
  <c r="BC33" i="16"/>
  <c r="BD33" i="16" s="1"/>
  <c r="BC34" i="16"/>
  <c r="BD34" i="16" s="1"/>
  <c r="BC35" i="16"/>
  <c r="BD35" i="16" s="1"/>
  <c r="BC36" i="16"/>
  <c r="BD36" i="16" s="1"/>
  <c r="BC37" i="16"/>
  <c r="BD37" i="16" s="1"/>
  <c r="BC38" i="16"/>
  <c r="BD38" i="16" s="1"/>
  <c r="BC39" i="16"/>
  <c r="BD39" i="16" s="1"/>
  <c r="BC40" i="16"/>
  <c r="BD40" i="16" s="1"/>
  <c r="BC41" i="16"/>
  <c r="BD41" i="16" s="1"/>
  <c r="BC42" i="16"/>
  <c r="BD42" i="16" s="1"/>
  <c r="BC43" i="16"/>
  <c r="BD43" i="16" s="1"/>
  <c r="BC44" i="16"/>
  <c r="BD44" i="16" s="1"/>
  <c r="BC45" i="16"/>
  <c r="BD45" i="16" s="1"/>
  <c r="BC46" i="16"/>
  <c r="BD46" i="16" s="1"/>
  <c r="BC47" i="16"/>
  <c r="BD47" i="16" s="1"/>
  <c r="BC48" i="16"/>
  <c r="BD48" i="16" s="1"/>
  <c r="BC49" i="16"/>
  <c r="BD49" i="16" s="1"/>
  <c r="BC50" i="16"/>
  <c r="BD50" i="16" s="1"/>
  <c r="BC51" i="16"/>
  <c r="BD51" i="16" s="1"/>
  <c r="BC52" i="16"/>
  <c r="BD52" i="16" s="1"/>
  <c r="BC53" i="16"/>
  <c r="BD53" i="16" s="1"/>
  <c r="BC54" i="16"/>
  <c r="BD54" i="16" s="1"/>
  <c r="BC55" i="16"/>
  <c r="BD55" i="16" s="1"/>
  <c r="BC56" i="16"/>
  <c r="BD56" i="16" s="1"/>
  <c r="BC57" i="16"/>
  <c r="BD57" i="16" s="1"/>
  <c r="BC58" i="16"/>
  <c r="BD58" i="16" s="1"/>
  <c r="BC59" i="16"/>
  <c r="BD59" i="16" s="1"/>
  <c r="BC60" i="16"/>
  <c r="BD60" i="16" s="1"/>
  <c r="BC61" i="16"/>
  <c r="BD61" i="16" s="1"/>
  <c r="BC62" i="16"/>
  <c r="BD62" i="16" s="1"/>
  <c r="BC63" i="16"/>
  <c r="BD63" i="16" s="1"/>
  <c r="BC64" i="16"/>
  <c r="BD64" i="16" s="1"/>
  <c r="BC65" i="16"/>
  <c r="BD65" i="16" s="1"/>
  <c r="BC66" i="16"/>
  <c r="BD66" i="16" s="1"/>
  <c r="BC67" i="16"/>
  <c r="BD67" i="16" s="1"/>
  <c r="BC68" i="16"/>
  <c r="BD68" i="16" s="1"/>
  <c r="BC69" i="16"/>
  <c r="BD69" i="16" s="1"/>
  <c r="BC70" i="16"/>
  <c r="BD70" i="16" s="1"/>
  <c r="BC71" i="16"/>
  <c r="BD71" i="16" s="1"/>
  <c r="BC13" i="16"/>
  <c r="BD13" i="16" s="1"/>
  <c r="CJ19" i="10"/>
  <c r="BA12" i="16"/>
  <c r="BA14" i="16"/>
  <c r="BA15" i="16"/>
  <c r="BA16" i="16"/>
  <c r="BA17" i="16"/>
  <c r="BA18" i="16"/>
  <c r="BA19" i="16"/>
  <c r="BA20" i="16"/>
  <c r="BA21" i="16"/>
  <c r="BA22" i="16"/>
  <c r="BA23" i="16"/>
  <c r="BA24" i="16"/>
  <c r="BA25" i="16"/>
  <c r="BA26" i="16"/>
  <c r="BA27" i="16"/>
  <c r="BA28" i="16"/>
  <c r="BA29" i="16"/>
  <c r="BA30" i="16"/>
  <c r="BA31" i="16"/>
  <c r="BA32" i="16"/>
  <c r="BA33" i="16"/>
  <c r="BA34" i="16"/>
  <c r="BA35" i="16"/>
  <c r="BA36" i="16"/>
  <c r="BA37" i="16"/>
  <c r="BA38" i="16"/>
  <c r="BA39" i="16"/>
  <c r="BA40" i="16"/>
  <c r="BA41" i="16"/>
  <c r="BA42" i="16"/>
  <c r="BA43" i="16"/>
  <c r="BA44" i="16"/>
  <c r="BA45" i="16"/>
  <c r="BA46" i="16"/>
  <c r="BA47" i="16"/>
  <c r="BA48" i="16"/>
  <c r="BA49" i="16"/>
  <c r="BA50" i="16"/>
  <c r="BA51" i="16"/>
  <c r="BA52" i="16"/>
  <c r="BA53" i="16"/>
  <c r="BA54" i="16"/>
  <c r="BA55" i="16"/>
  <c r="BA56" i="16"/>
  <c r="BA57" i="16"/>
  <c r="BA58" i="16"/>
  <c r="BA59" i="16"/>
  <c r="BA60" i="16"/>
  <c r="BA61" i="16"/>
  <c r="BA62" i="16"/>
  <c r="BA63" i="16"/>
  <c r="BA64" i="16"/>
  <c r="BA65" i="16"/>
  <c r="BA66" i="16"/>
  <c r="BA67" i="16"/>
  <c r="BA68" i="16"/>
  <c r="BA69" i="16"/>
  <c r="BA70" i="16"/>
  <c r="BA71" i="16"/>
  <c r="BA13" i="16"/>
  <c r="AZ12" i="16"/>
  <c r="AZ14" i="16"/>
  <c r="AZ15" i="16"/>
  <c r="AZ16" i="16"/>
  <c r="AZ17" i="16"/>
  <c r="AZ18" i="16"/>
  <c r="AZ19" i="16"/>
  <c r="AZ20" i="16"/>
  <c r="AZ21" i="16"/>
  <c r="AZ22" i="16"/>
  <c r="AZ23" i="16"/>
  <c r="AZ24" i="16"/>
  <c r="AZ25" i="16"/>
  <c r="AZ26" i="16"/>
  <c r="AZ27" i="16"/>
  <c r="AZ28" i="16"/>
  <c r="AZ29" i="16"/>
  <c r="AZ30" i="16"/>
  <c r="AZ31" i="16"/>
  <c r="AZ32" i="16"/>
  <c r="AZ33" i="16"/>
  <c r="AZ34" i="16"/>
  <c r="AZ35" i="16"/>
  <c r="AZ36" i="16"/>
  <c r="AZ37" i="16"/>
  <c r="AZ38" i="16"/>
  <c r="AZ39" i="16"/>
  <c r="AZ40" i="16"/>
  <c r="AZ41" i="16"/>
  <c r="AZ42" i="16"/>
  <c r="AZ43" i="16"/>
  <c r="AZ44" i="16"/>
  <c r="AZ45" i="16"/>
  <c r="AZ46" i="16"/>
  <c r="AZ47" i="16"/>
  <c r="AZ48" i="16"/>
  <c r="AZ49" i="16"/>
  <c r="AZ50" i="16"/>
  <c r="AZ51" i="16"/>
  <c r="AZ52" i="16"/>
  <c r="AZ53" i="16"/>
  <c r="AZ54" i="16"/>
  <c r="AZ55" i="16"/>
  <c r="AZ56" i="16"/>
  <c r="AZ57" i="16"/>
  <c r="AZ58" i="16"/>
  <c r="AZ59" i="16"/>
  <c r="AZ60" i="16"/>
  <c r="AZ61" i="16"/>
  <c r="AZ62" i="16"/>
  <c r="AZ63" i="16"/>
  <c r="AZ64" i="16"/>
  <c r="AZ65" i="16"/>
  <c r="AZ66" i="16"/>
  <c r="AZ67" i="16"/>
  <c r="AZ68" i="16"/>
  <c r="AZ69" i="16"/>
  <c r="AZ70" i="16"/>
  <c r="AZ71" i="16"/>
  <c r="AY12" i="16"/>
  <c r="AZ13" i="16"/>
  <c r="BW19" i="10"/>
  <c r="AY13" i="16"/>
  <c r="AY71" i="16"/>
  <c r="AY70" i="16"/>
  <c r="AY69" i="16"/>
  <c r="AY68" i="16"/>
  <c r="AY67" i="16"/>
  <c r="AY66" i="16"/>
  <c r="AY65" i="16"/>
  <c r="AY64" i="16"/>
  <c r="AY63" i="16"/>
  <c r="AY62" i="16"/>
  <c r="AY61" i="16"/>
  <c r="AY60" i="16"/>
  <c r="AY59" i="16"/>
  <c r="AY58" i="16"/>
  <c r="AY57" i="16"/>
  <c r="AY56" i="16"/>
  <c r="AY55" i="16"/>
  <c r="AY54" i="16"/>
  <c r="AY53" i="16"/>
  <c r="AY52" i="16"/>
  <c r="AY51" i="16"/>
  <c r="AY50" i="16"/>
  <c r="AY49" i="16"/>
  <c r="AY48" i="16"/>
  <c r="AY47" i="16"/>
  <c r="AY46" i="16"/>
  <c r="AY45" i="16"/>
  <c r="AY44" i="16"/>
  <c r="AY43" i="16"/>
  <c r="AY42" i="16"/>
  <c r="AY41" i="16"/>
  <c r="AY40" i="16"/>
  <c r="AY39" i="16"/>
  <c r="AY38" i="16"/>
  <c r="AY37" i="16"/>
  <c r="AY36" i="16"/>
  <c r="AY35" i="16"/>
  <c r="AY34" i="16"/>
  <c r="AY33" i="16"/>
  <c r="AY32" i="16"/>
  <c r="AY31" i="16"/>
  <c r="AY30" i="16"/>
  <c r="AY29" i="16"/>
  <c r="AY28" i="16"/>
  <c r="AY27" i="16"/>
  <c r="AY26" i="16"/>
  <c r="AY25" i="16"/>
  <c r="AY24" i="16"/>
  <c r="AY23" i="16"/>
  <c r="AY22" i="16"/>
  <c r="AY21" i="16"/>
  <c r="AY20" i="16"/>
  <c r="AY19" i="16"/>
  <c r="AY18" i="16"/>
  <c r="AY17" i="16"/>
  <c r="AY16" i="16"/>
  <c r="AY15" i="16"/>
  <c r="AY14" i="16"/>
  <c r="BV19" i="10"/>
  <c r="R6" i="10"/>
  <c r="R43" i="16"/>
  <c r="AX43" i="16" s="1"/>
  <c r="AX14" i="16"/>
  <c r="AX15" i="16"/>
  <c r="AX16" i="16"/>
  <c r="AX17" i="16"/>
  <c r="AX18" i="16"/>
  <c r="AX19" i="16"/>
  <c r="AX20" i="16"/>
  <c r="AX21" i="16"/>
  <c r="AX22" i="16"/>
  <c r="AX23" i="16"/>
  <c r="AX24" i="16"/>
  <c r="AX25" i="16"/>
  <c r="AX26" i="16"/>
  <c r="AX27" i="16"/>
  <c r="AX28" i="16"/>
  <c r="AX29" i="16"/>
  <c r="AX30" i="16"/>
  <c r="AX31" i="16"/>
  <c r="AX32" i="16"/>
  <c r="AX33" i="16"/>
  <c r="AX34" i="16"/>
  <c r="AX35" i="16"/>
  <c r="AX36" i="16"/>
  <c r="AX37" i="16"/>
  <c r="AX38" i="16"/>
  <c r="AX39" i="16"/>
  <c r="AX40" i="16"/>
  <c r="AX41" i="16"/>
  <c r="AX42" i="16"/>
  <c r="AX44" i="16"/>
  <c r="AX45" i="16"/>
  <c r="AX46" i="16"/>
  <c r="AX47" i="16"/>
  <c r="AX48" i="16"/>
  <c r="AX49" i="16"/>
  <c r="AX50" i="16"/>
  <c r="AX51" i="16"/>
  <c r="AX52" i="16"/>
  <c r="AX53" i="16"/>
  <c r="AX54" i="16"/>
  <c r="AX55" i="16"/>
  <c r="AX56" i="16"/>
  <c r="AX57" i="16"/>
  <c r="AX58" i="16"/>
  <c r="AX59" i="16"/>
  <c r="AX60" i="16"/>
  <c r="AX61" i="16"/>
  <c r="AX62" i="16"/>
  <c r="AX63" i="16"/>
  <c r="AX64" i="16"/>
  <c r="AX65" i="16"/>
  <c r="AX66" i="16"/>
  <c r="AX67" i="16"/>
  <c r="AX68" i="16"/>
  <c r="AX69" i="16"/>
  <c r="AX70" i="16"/>
  <c r="AX71" i="16"/>
  <c r="J13" i="16"/>
  <c r="L13" i="16"/>
  <c r="AX13" i="16"/>
  <c r="BU19" i="10"/>
  <c r="BC12" i="16" l="1"/>
  <c r="BD12" i="16"/>
  <c r="AX12" i="16"/>
  <c r="BP85" i="10" l="1"/>
  <c r="BP84" i="10" s="1"/>
  <c r="BP82" i="10"/>
  <c r="BP81" i="10"/>
  <c r="BP80" i="10"/>
  <c r="BP79" i="10"/>
  <c r="BP78" i="10"/>
  <c r="BP77" i="10"/>
  <c r="BP76" i="10"/>
  <c r="BP75" i="10"/>
  <c r="BP74" i="10" s="1"/>
  <c r="BP72" i="10"/>
  <c r="BP71" i="10"/>
  <c r="BP70" i="10"/>
  <c r="BP69" i="10"/>
  <c r="BP68" i="10"/>
  <c r="BP67" i="10"/>
  <c r="BP66" i="10"/>
  <c r="BP65" i="10"/>
  <c r="BP64" i="10"/>
  <c r="BP63" i="10"/>
  <c r="BP62" i="10"/>
  <c r="BP61" i="10"/>
  <c r="BP60" i="10"/>
  <c r="BP59" i="10"/>
  <c r="BP58" i="10"/>
  <c r="BP57" i="10"/>
  <c r="BP54" i="10"/>
  <c r="BP53" i="10"/>
  <c r="BP52" i="10"/>
  <c r="BP49" i="10"/>
  <c r="BP48" i="10"/>
  <c r="BP47" i="10"/>
  <c r="BP46" i="10"/>
  <c r="BP45" i="10"/>
  <c r="BP44" i="10"/>
  <c r="BP43" i="10"/>
  <c r="BP42" i="10"/>
  <c r="BP41" i="10" s="1"/>
  <c r="BP39" i="10"/>
  <c r="BP38" i="10"/>
  <c r="BP35" i="10"/>
  <c r="BP34" i="10"/>
  <c r="BP29" i="10"/>
  <c r="BP30" i="10"/>
  <c r="BP20" i="10"/>
  <c r="BP21" i="10"/>
  <c r="BP22" i="10"/>
  <c r="BP23" i="10"/>
  <c r="BP18" i="10" s="1"/>
  <c r="BP24" i="10"/>
  <c r="BP25" i="10"/>
  <c r="BP26" i="10"/>
  <c r="BP27" i="10"/>
  <c r="BP19" i="10"/>
  <c r="BO19" i="10"/>
  <c r="BP56" i="10"/>
  <c r="BP51" i="10"/>
  <c r="BP37" i="10"/>
  <c r="BK85" i="10"/>
  <c r="BJ85" i="10"/>
  <c r="BI85" i="10"/>
  <c r="BK82" i="10"/>
  <c r="BJ82" i="10"/>
  <c r="BK81" i="10"/>
  <c r="BJ81" i="10"/>
  <c r="BK80" i="10"/>
  <c r="BJ80" i="10"/>
  <c r="BK79" i="10"/>
  <c r="BJ79" i="10"/>
  <c r="BK78" i="10"/>
  <c r="BJ78" i="10"/>
  <c r="BK77" i="10"/>
  <c r="BJ77" i="10"/>
  <c r="BK76" i="10"/>
  <c r="BJ76" i="10"/>
  <c r="BK75" i="10"/>
  <c r="BJ75" i="10"/>
  <c r="BK72" i="10"/>
  <c r="BJ72" i="10"/>
  <c r="BK71" i="10"/>
  <c r="BJ71" i="10"/>
  <c r="BK70" i="10"/>
  <c r="BJ70" i="10"/>
  <c r="BK69" i="10"/>
  <c r="BJ69" i="10"/>
  <c r="BK68" i="10"/>
  <c r="BJ68" i="10"/>
  <c r="BK67" i="10"/>
  <c r="BJ67" i="10"/>
  <c r="BK66" i="10"/>
  <c r="BJ66" i="10"/>
  <c r="BK65" i="10"/>
  <c r="BJ65" i="10"/>
  <c r="BK64" i="10"/>
  <c r="BJ64" i="10"/>
  <c r="BK63" i="10"/>
  <c r="BJ63" i="10"/>
  <c r="BK62" i="10"/>
  <c r="BJ62" i="10"/>
  <c r="BK61" i="10"/>
  <c r="BJ61" i="10"/>
  <c r="BK60" i="10"/>
  <c r="BJ60" i="10"/>
  <c r="BK59" i="10"/>
  <c r="BJ59" i="10"/>
  <c r="BK58" i="10"/>
  <c r="BJ58" i="10"/>
  <c r="BK57" i="10"/>
  <c r="BJ57" i="10"/>
  <c r="BK54" i="10"/>
  <c r="BJ54" i="10"/>
  <c r="BK53" i="10"/>
  <c r="BJ53" i="10"/>
  <c r="BK52" i="10"/>
  <c r="BK51" i="10" s="1"/>
  <c r="BJ52" i="10"/>
  <c r="BK49" i="10"/>
  <c r="BJ49" i="10"/>
  <c r="BK48" i="10"/>
  <c r="BJ48" i="10"/>
  <c r="BK47" i="10"/>
  <c r="BJ47" i="10"/>
  <c r="BK46" i="10"/>
  <c r="BJ46" i="10"/>
  <c r="BK45" i="10"/>
  <c r="BJ45" i="10"/>
  <c r="BK44" i="10"/>
  <c r="BJ44" i="10"/>
  <c r="BK43" i="10"/>
  <c r="BJ43" i="10"/>
  <c r="BJ41" i="10" s="1"/>
  <c r="BK42" i="10"/>
  <c r="BJ42" i="10"/>
  <c r="BK41" i="10"/>
  <c r="BK39" i="10"/>
  <c r="BJ39" i="10"/>
  <c r="BK38" i="10"/>
  <c r="BJ38" i="10"/>
  <c r="BK35" i="10"/>
  <c r="BJ35" i="10"/>
  <c r="BK34" i="10"/>
  <c r="BJ34" i="10"/>
  <c r="BK33" i="10"/>
  <c r="BJ33" i="10"/>
  <c r="BK32" i="10"/>
  <c r="BJ32" i="10"/>
  <c r="BK31" i="10"/>
  <c r="BJ31" i="10"/>
  <c r="BK30" i="10"/>
  <c r="BJ30" i="10"/>
  <c r="BJ27" i="10"/>
  <c r="BJ26" i="10"/>
  <c r="BK25" i="10"/>
  <c r="BJ25" i="10"/>
  <c r="BJ24" i="10"/>
  <c r="BJ23" i="10"/>
  <c r="BJ22" i="10"/>
  <c r="BJ21" i="10"/>
  <c r="BJ20" i="10"/>
  <c r="BK19" i="10"/>
  <c r="BJ19" i="10"/>
  <c r="BI19" i="10"/>
  <c r="BI84" i="10"/>
  <c r="BJ84" i="10"/>
  <c r="BK84" i="10"/>
  <c r="BJ74" i="10"/>
  <c r="BK74" i="10"/>
  <c r="BJ56" i="10"/>
  <c r="BK56" i="10"/>
  <c r="BJ51" i="10"/>
  <c r="BJ37" i="10"/>
  <c r="BK37" i="10"/>
  <c r="BJ29" i="10"/>
  <c r="BK29" i="10"/>
  <c r="BJ18" i="10"/>
  <c r="BH18" i="10"/>
  <c r="Z85" i="10"/>
  <c r="Z82" i="10"/>
  <c r="BI82" i="10" s="1"/>
  <c r="Z81" i="10"/>
  <c r="BI81" i="10" s="1"/>
  <c r="Z80" i="10"/>
  <c r="BI80" i="10" s="1"/>
  <c r="Z79" i="10"/>
  <c r="BI79" i="10" s="1"/>
  <c r="Z78" i="10"/>
  <c r="BI78" i="10" s="1"/>
  <c r="Z77" i="10"/>
  <c r="BI77" i="10" s="1"/>
  <c r="Z76" i="10"/>
  <c r="BI76" i="10" s="1"/>
  <c r="Z75" i="10"/>
  <c r="BI75" i="10" s="1"/>
  <c r="Z72" i="10"/>
  <c r="BI72" i="10" s="1"/>
  <c r="Z71" i="10"/>
  <c r="BI71" i="10" s="1"/>
  <c r="Z70" i="10"/>
  <c r="BI70" i="10" s="1"/>
  <c r="Z69" i="10"/>
  <c r="BI69" i="10" s="1"/>
  <c r="Z68" i="10"/>
  <c r="BI68" i="10" s="1"/>
  <c r="Z67" i="10"/>
  <c r="BI67" i="10" s="1"/>
  <c r="Z66" i="10"/>
  <c r="BI66" i="10" s="1"/>
  <c r="Z65" i="10"/>
  <c r="BI65" i="10" s="1"/>
  <c r="Z64" i="10"/>
  <c r="BI64" i="10" s="1"/>
  <c r="Z63" i="10"/>
  <c r="BI63" i="10" s="1"/>
  <c r="Z62" i="10"/>
  <c r="BI62" i="10" s="1"/>
  <c r="Z61" i="10"/>
  <c r="BI61" i="10" s="1"/>
  <c r="Z60" i="10"/>
  <c r="BI60" i="10" s="1"/>
  <c r="Z59" i="10"/>
  <c r="BI59" i="10" s="1"/>
  <c r="Z58" i="10"/>
  <c r="BI58" i="10" s="1"/>
  <c r="Z57" i="10"/>
  <c r="BI57" i="10" s="1"/>
  <c r="Z54" i="10"/>
  <c r="BI54" i="10" s="1"/>
  <c r="Z53" i="10"/>
  <c r="BI53" i="10" s="1"/>
  <c r="Z52" i="10"/>
  <c r="BI52" i="10" s="1"/>
  <c r="BI51" i="10" s="1"/>
  <c r="Z49" i="10"/>
  <c r="BI49" i="10" s="1"/>
  <c r="Z48" i="10"/>
  <c r="BI48" i="10" s="1"/>
  <c r="Z47" i="10"/>
  <c r="BI47" i="10" s="1"/>
  <c r="Z46" i="10"/>
  <c r="BI46" i="10" s="1"/>
  <c r="Z45" i="10"/>
  <c r="BI45" i="10" s="1"/>
  <c r="Z44" i="10"/>
  <c r="BI44" i="10" s="1"/>
  <c r="Z43" i="10"/>
  <c r="BI43" i="10" s="1"/>
  <c r="Z42" i="10"/>
  <c r="BI42" i="10" s="1"/>
  <c r="BI41" i="10" s="1"/>
  <c r="Z39" i="10"/>
  <c r="BI39" i="10" s="1"/>
  <c r="Z38" i="10"/>
  <c r="BI38" i="10" s="1"/>
  <c r="Z35" i="10"/>
  <c r="BI35" i="10" s="1"/>
  <c r="Z34" i="10"/>
  <c r="BI34" i="10" s="1"/>
  <c r="Z33" i="10"/>
  <c r="BI33" i="10" s="1"/>
  <c r="Z32" i="10"/>
  <c r="BI32" i="10" s="1"/>
  <c r="Z31" i="10"/>
  <c r="BI31" i="10" s="1"/>
  <c r="Z30" i="10"/>
  <c r="BI30" i="10" s="1"/>
  <c r="BI29" i="10" s="1"/>
  <c r="Z27" i="10"/>
  <c r="BI27" i="10" s="1"/>
  <c r="Z26" i="10"/>
  <c r="BI26" i="10" s="1"/>
  <c r="Z25" i="10"/>
  <c r="BI25" i="10" s="1"/>
  <c r="Z24" i="10"/>
  <c r="BI24" i="10" s="1"/>
  <c r="Z23" i="10"/>
  <c r="BI23" i="10" s="1"/>
  <c r="Z22" i="10"/>
  <c r="BI22" i="10" s="1"/>
  <c r="Z21" i="10"/>
  <c r="BI21" i="10" s="1"/>
  <c r="Z20" i="10"/>
  <c r="BI20" i="10" s="1"/>
  <c r="BI18" i="10" s="1"/>
  <c r="Z19" i="10"/>
  <c r="AS85" i="10"/>
  <c r="AS82" i="10"/>
  <c r="AS81" i="10"/>
  <c r="AS80" i="10"/>
  <c r="AS79" i="10"/>
  <c r="AS78" i="10"/>
  <c r="AS77" i="10"/>
  <c r="AS76" i="10"/>
  <c r="AS75" i="10"/>
  <c r="AS72" i="10"/>
  <c r="AS71" i="10"/>
  <c r="AS70" i="10"/>
  <c r="AS69" i="10"/>
  <c r="AS68" i="10"/>
  <c r="AS67" i="10"/>
  <c r="AS66" i="10"/>
  <c r="AS65" i="10"/>
  <c r="AS64" i="10"/>
  <c r="AS63" i="10"/>
  <c r="AS62" i="10"/>
  <c r="AS61" i="10"/>
  <c r="AS60" i="10"/>
  <c r="AS59" i="10"/>
  <c r="AS58" i="10"/>
  <c r="AS57" i="10"/>
  <c r="AS54" i="10"/>
  <c r="AS53" i="10"/>
  <c r="AS52" i="10"/>
  <c r="AS49" i="10"/>
  <c r="AS48" i="10"/>
  <c r="AS47" i="10"/>
  <c r="AS46" i="10"/>
  <c r="AS45" i="10"/>
  <c r="AS44" i="10"/>
  <c r="AS43" i="10"/>
  <c r="AS42" i="10"/>
  <c r="AS39" i="10"/>
  <c r="AS38" i="10"/>
  <c r="AS35" i="10"/>
  <c r="AS34" i="10"/>
  <c r="AS33" i="10"/>
  <c r="AS32" i="10"/>
  <c r="AS31" i="10"/>
  <c r="AS30" i="10"/>
  <c r="AS25" i="10"/>
  <c r="AS27" i="10"/>
  <c r="BK27" i="10" s="1"/>
  <c r="AS26" i="10"/>
  <c r="BK26" i="10" s="1"/>
  <c r="AS24" i="10"/>
  <c r="BK24" i="10" s="1"/>
  <c r="AS23" i="10"/>
  <c r="BK23" i="10" s="1"/>
  <c r="AS22" i="10"/>
  <c r="BK22" i="10" s="1"/>
  <c r="AS21" i="10"/>
  <c r="BK21" i="10" s="1"/>
  <c r="AS20" i="10"/>
  <c r="BK20" i="10" s="1"/>
  <c r="AS19" i="10"/>
  <c r="AG85" i="10"/>
  <c r="AG82" i="10"/>
  <c r="AG81" i="10"/>
  <c r="AG80" i="10"/>
  <c r="AG79" i="10"/>
  <c r="AG78" i="10"/>
  <c r="AG77" i="10"/>
  <c r="AG76" i="10"/>
  <c r="AG75" i="10"/>
  <c r="AG72" i="10"/>
  <c r="AG71" i="10"/>
  <c r="AG70" i="10"/>
  <c r="AG69" i="10"/>
  <c r="AG68" i="10"/>
  <c r="AG67" i="10"/>
  <c r="AG66" i="10"/>
  <c r="AG65" i="10"/>
  <c r="AG64" i="10"/>
  <c r="AG63" i="10"/>
  <c r="AG62" i="10"/>
  <c r="AG61" i="10"/>
  <c r="AG60" i="10"/>
  <c r="AG59" i="10"/>
  <c r="AG58" i="10"/>
  <c r="AG57" i="10"/>
  <c r="AG54" i="10"/>
  <c r="AG53" i="10"/>
  <c r="AG52" i="10"/>
  <c r="AG49" i="10"/>
  <c r="AG48" i="10"/>
  <c r="AG47" i="10"/>
  <c r="AG46" i="10"/>
  <c r="AG45" i="10"/>
  <c r="AG44" i="10"/>
  <c r="AG43" i="10"/>
  <c r="AG42" i="10"/>
  <c r="AG39" i="10"/>
  <c r="AG38" i="10"/>
  <c r="AG35" i="10"/>
  <c r="AG34" i="10"/>
  <c r="AG33" i="10"/>
  <c r="AG32" i="10"/>
  <c r="AG31" i="10"/>
  <c r="AG30" i="10"/>
  <c r="AG27" i="10"/>
  <c r="AG26" i="10"/>
  <c r="AG25" i="10"/>
  <c r="AG24" i="10"/>
  <c r="AG23" i="10"/>
  <c r="AG22" i="10"/>
  <c r="AG21" i="10"/>
  <c r="AG20" i="10"/>
  <c r="AG19" i="10"/>
  <c r="BP12" i="10" l="1"/>
  <c r="BI37" i="10"/>
  <c r="BK18" i="10"/>
  <c r="BK12" i="10" s="1"/>
  <c r="BI56" i="10"/>
  <c r="BI74" i="10"/>
  <c r="BI12" i="10" s="1"/>
  <c r="BJ12" i="10"/>
  <c r="Z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G38" i="16"/>
  <c r="AG39" i="16"/>
  <c r="AG40" i="16"/>
  <c r="AG41" i="16"/>
  <c r="AG42" i="16"/>
  <c r="AG43" i="16"/>
  <c r="AG44" i="16"/>
  <c r="AG45" i="16"/>
  <c r="AG46" i="16"/>
  <c r="AG47" i="16"/>
  <c r="AG48" i="16"/>
  <c r="AG49" i="16"/>
  <c r="AG50" i="16"/>
  <c r="AG51" i="16"/>
  <c r="AG52" i="16"/>
  <c r="AG53" i="16"/>
  <c r="AG54" i="16"/>
  <c r="AG55" i="16"/>
  <c r="AG56" i="16"/>
  <c r="AG57" i="16"/>
  <c r="AG58" i="16"/>
  <c r="AG59" i="16"/>
  <c r="AG60" i="16"/>
  <c r="AG61" i="16"/>
  <c r="AG62" i="16"/>
  <c r="AG63" i="16"/>
  <c r="AG64" i="16"/>
  <c r="AG65" i="16"/>
  <c r="AG66" i="16"/>
  <c r="AG67" i="16"/>
  <c r="AG68" i="16"/>
  <c r="AG69" i="16"/>
  <c r="AG70" i="16"/>
  <c r="AG71" i="16"/>
  <c r="AC14" i="16"/>
  <c r="AD14" i="16"/>
  <c r="AE14" i="16"/>
  <c r="AC15" i="16"/>
  <c r="AD15" i="16"/>
  <c r="AE15" i="16"/>
  <c r="AC16" i="16"/>
  <c r="AD16" i="16"/>
  <c r="AE16" i="16"/>
  <c r="AC17" i="16"/>
  <c r="AD17" i="16"/>
  <c r="AE17" i="16"/>
  <c r="AC18" i="16"/>
  <c r="AD18" i="16"/>
  <c r="AE18" i="16"/>
  <c r="AC19" i="16"/>
  <c r="AD19" i="16"/>
  <c r="AE19" i="16"/>
  <c r="AC20" i="16"/>
  <c r="AD20" i="16"/>
  <c r="AE20" i="16"/>
  <c r="AC21" i="16"/>
  <c r="AD21" i="16"/>
  <c r="AE21" i="16"/>
  <c r="AC22" i="16"/>
  <c r="AD22" i="16"/>
  <c r="AE22" i="16"/>
  <c r="AC23" i="16"/>
  <c r="AD23" i="16"/>
  <c r="AE23" i="16"/>
  <c r="AC24" i="16"/>
  <c r="AD24" i="16"/>
  <c r="AE24" i="16"/>
  <c r="AC25" i="16"/>
  <c r="AD25" i="16"/>
  <c r="AE25" i="16"/>
  <c r="AC26" i="16"/>
  <c r="AD26" i="16"/>
  <c r="AE26" i="16"/>
  <c r="AC27" i="16"/>
  <c r="AD27" i="16"/>
  <c r="AE27" i="16"/>
  <c r="AC28" i="16"/>
  <c r="AD28" i="16"/>
  <c r="AE28" i="16"/>
  <c r="AC29" i="16"/>
  <c r="AD29" i="16"/>
  <c r="AE29" i="16"/>
  <c r="AC30" i="16"/>
  <c r="AD30" i="16"/>
  <c r="AE30" i="16"/>
  <c r="AC31" i="16"/>
  <c r="AD31" i="16"/>
  <c r="AE31" i="16"/>
  <c r="AC32" i="16"/>
  <c r="AD32" i="16"/>
  <c r="AE32" i="16"/>
  <c r="AC33" i="16"/>
  <c r="AD33" i="16"/>
  <c r="AE33" i="16"/>
  <c r="AC34" i="16"/>
  <c r="AD34" i="16"/>
  <c r="AE34" i="16"/>
  <c r="AC35" i="16"/>
  <c r="AD35" i="16"/>
  <c r="AE35" i="16"/>
  <c r="AC36" i="16"/>
  <c r="AD36" i="16"/>
  <c r="AE36" i="16"/>
  <c r="AC37" i="16"/>
  <c r="AD37" i="16"/>
  <c r="AE37" i="16"/>
  <c r="AC38" i="16"/>
  <c r="AD38" i="16"/>
  <c r="AE38" i="16"/>
  <c r="AC39" i="16"/>
  <c r="AD39" i="16"/>
  <c r="AE39" i="16"/>
  <c r="AC40" i="16"/>
  <c r="AD40" i="16"/>
  <c r="AE40" i="16"/>
  <c r="AC41" i="16"/>
  <c r="AD41" i="16"/>
  <c r="AE41" i="16"/>
  <c r="AC42" i="16"/>
  <c r="AD42" i="16"/>
  <c r="AE42" i="16"/>
  <c r="AC43" i="16"/>
  <c r="AD43" i="16"/>
  <c r="AE43" i="16"/>
  <c r="AC44" i="16"/>
  <c r="AD44" i="16"/>
  <c r="AE44" i="16"/>
  <c r="AC45" i="16"/>
  <c r="AD45" i="16"/>
  <c r="AE45" i="16"/>
  <c r="AC46" i="16"/>
  <c r="AD46" i="16"/>
  <c r="AE46" i="16"/>
  <c r="AC47" i="16"/>
  <c r="AD47" i="16"/>
  <c r="AE47" i="16"/>
  <c r="AC48" i="16"/>
  <c r="AD48" i="16"/>
  <c r="AE48" i="16"/>
  <c r="AC49" i="16"/>
  <c r="AD49" i="16"/>
  <c r="AE49" i="16"/>
  <c r="AC50" i="16"/>
  <c r="AD50" i="16"/>
  <c r="AE50" i="16"/>
  <c r="AC51" i="16"/>
  <c r="AD51" i="16"/>
  <c r="AE51" i="16"/>
  <c r="AC52" i="16"/>
  <c r="AD52" i="16"/>
  <c r="AE52" i="16"/>
  <c r="AC53" i="16"/>
  <c r="AD53" i="16"/>
  <c r="AE53" i="16"/>
  <c r="AC54" i="16"/>
  <c r="AD54" i="16"/>
  <c r="AE54" i="16"/>
  <c r="AC55" i="16"/>
  <c r="AD55" i="16"/>
  <c r="AE55" i="16"/>
  <c r="AC56" i="16"/>
  <c r="AD56" i="16"/>
  <c r="AE56" i="16"/>
  <c r="AC57" i="16"/>
  <c r="AD57" i="16"/>
  <c r="AE57" i="16"/>
  <c r="AC58" i="16"/>
  <c r="AD58" i="16"/>
  <c r="AE58" i="16"/>
  <c r="AC59" i="16"/>
  <c r="AD59" i="16"/>
  <c r="AE59" i="16"/>
  <c r="AC60" i="16"/>
  <c r="AD60" i="16"/>
  <c r="AE60" i="16"/>
  <c r="AC61" i="16"/>
  <c r="AD61" i="16"/>
  <c r="AE61" i="16"/>
  <c r="AC62" i="16"/>
  <c r="AD62" i="16"/>
  <c r="AE62" i="16"/>
  <c r="AC63" i="16"/>
  <c r="AD63" i="16"/>
  <c r="AE63" i="16"/>
  <c r="AC64" i="16"/>
  <c r="AD64" i="16"/>
  <c r="AE64" i="16"/>
  <c r="AC65" i="16"/>
  <c r="AD65" i="16"/>
  <c r="AE65" i="16"/>
  <c r="AC66" i="16"/>
  <c r="AD66" i="16"/>
  <c r="AE66" i="16"/>
  <c r="AC67" i="16"/>
  <c r="AD67" i="16"/>
  <c r="AE67" i="16"/>
  <c r="AC68" i="16"/>
  <c r="AD68" i="16"/>
  <c r="AE68" i="16"/>
  <c r="AC69" i="16"/>
  <c r="AD69" i="16"/>
  <c r="AE69" i="16"/>
  <c r="AC70" i="16"/>
  <c r="AD70" i="16"/>
  <c r="AE70" i="16"/>
  <c r="AC71" i="16"/>
  <c r="AD71" i="16"/>
  <c r="AE71" i="16"/>
  <c r="Y14" i="16"/>
  <c r="Z14" i="16"/>
  <c r="AA14" i="16"/>
  <c r="Y15" i="16"/>
  <c r="Z15" i="16"/>
  <c r="AA15" i="16"/>
  <c r="Y16" i="16"/>
  <c r="Z16" i="16"/>
  <c r="AA16" i="16"/>
  <c r="Y17" i="16"/>
  <c r="Z17" i="16"/>
  <c r="AA17" i="16"/>
  <c r="Y18" i="16"/>
  <c r="Z18" i="16"/>
  <c r="AA18" i="16"/>
  <c r="Y19" i="16"/>
  <c r="Z19" i="16"/>
  <c r="AA19" i="16"/>
  <c r="Y20" i="16"/>
  <c r="Z20" i="16"/>
  <c r="AA20" i="16"/>
  <c r="Y21" i="16"/>
  <c r="Z21" i="16"/>
  <c r="AA21" i="16"/>
  <c r="Y22" i="16"/>
  <c r="Z22" i="16"/>
  <c r="AA22" i="16"/>
  <c r="Y23" i="16"/>
  <c r="Z23" i="16"/>
  <c r="AA23" i="16"/>
  <c r="Y24" i="16"/>
  <c r="Z24" i="16"/>
  <c r="AA24" i="16"/>
  <c r="Y25" i="16"/>
  <c r="Z25" i="16"/>
  <c r="AA25" i="16"/>
  <c r="Y26" i="16"/>
  <c r="Z26" i="16"/>
  <c r="AA26" i="16"/>
  <c r="Y27" i="16"/>
  <c r="Z27" i="16"/>
  <c r="AA27" i="16"/>
  <c r="Y28" i="16"/>
  <c r="Z28" i="16"/>
  <c r="AA28" i="16"/>
  <c r="Y29" i="16"/>
  <c r="Z29" i="16"/>
  <c r="AA29" i="16"/>
  <c r="Y30" i="16"/>
  <c r="Z30" i="16"/>
  <c r="AA30" i="16"/>
  <c r="Y31" i="16"/>
  <c r="Z31" i="16"/>
  <c r="AA31" i="16"/>
  <c r="Y32" i="16"/>
  <c r="Z32" i="16"/>
  <c r="AA32" i="16"/>
  <c r="Y33" i="16"/>
  <c r="Z33" i="16"/>
  <c r="AA33" i="16"/>
  <c r="Y34" i="16"/>
  <c r="Z34" i="16"/>
  <c r="AA34" i="16"/>
  <c r="Y35" i="16"/>
  <c r="Z35" i="16"/>
  <c r="AA35" i="16"/>
  <c r="Y36" i="16"/>
  <c r="Z36" i="16"/>
  <c r="AA36" i="16"/>
  <c r="Y37" i="16"/>
  <c r="Z37" i="16"/>
  <c r="AA37" i="16"/>
  <c r="Y38" i="16"/>
  <c r="Z38" i="16"/>
  <c r="AA38" i="16"/>
  <c r="Y39" i="16"/>
  <c r="Z39" i="16"/>
  <c r="AA39" i="16"/>
  <c r="Y40" i="16"/>
  <c r="Z40" i="16"/>
  <c r="AA40" i="16"/>
  <c r="Y41" i="16"/>
  <c r="Z41" i="16"/>
  <c r="AA41" i="16"/>
  <c r="Y42" i="16"/>
  <c r="Z42" i="16"/>
  <c r="AA42" i="16"/>
  <c r="Y43" i="16"/>
  <c r="Z43" i="16"/>
  <c r="AA43" i="16"/>
  <c r="Y44" i="16"/>
  <c r="Z44" i="16"/>
  <c r="AA44" i="16"/>
  <c r="Y45" i="16"/>
  <c r="Z45" i="16"/>
  <c r="AA45" i="16"/>
  <c r="Y46" i="16"/>
  <c r="Z46" i="16"/>
  <c r="AA46" i="16"/>
  <c r="Y47" i="16"/>
  <c r="Z47" i="16"/>
  <c r="AA47" i="16"/>
  <c r="Y48" i="16"/>
  <c r="Z48" i="16"/>
  <c r="AA48" i="16"/>
  <c r="Y49" i="16"/>
  <c r="Z49" i="16"/>
  <c r="AA49" i="16"/>
  <c r="Y50" i="16"/>
  <c r="Z50" i="16"/>
  <c r="AA50" i="16"/>
  <c r="Y51" i="16"/>
  <c r="Z51" i="16"/>
  <c r="AA51" i="16"/>
  <c r="Y52" i="16"/>
  <c r="Z52" i="16"/>
  <c r="AA52" i="16"/>
  <c r="Y53" i="16"/>
  <c r="Z53" i="16"/>
  <c r="AA53" i="16"/>
  <c r="Y54" i="16"/>
  <c r="Z54" i="16"/>
  <c r="AA54" i="16"/>
  <c r="Y55" i="16"/>
  <c r="Z55" i="16"/>
  <c r="AA55" i="16"/>
  <c r="Y56" i="16"/>
  <c r="Z56" i="16"/>
  <c r="AA56" i="16"/>
  <c r="Y57" i="16"/>
  <c r="Z57" i="16"/>
  <c r="AA57" i="16"/>
  <c r="Y58" i="16"/>
  <c r="Z58" i="16"/>
  <c r="AA58" i="16"/>
  <c r="Y59" i="16"/>
  <c r="Z59" i="16"/>
  <c r="AA59" i="16"/>
  <c r="Y60" i="16"/>
  <c r="Z60" i="16"/>
  <c r="AA60" i="16"/>
  <c r="Y61" i="16"/>
  <c r="Z61" i="16"/>
  <c r="AA61" i="16"/>
  <c r="Y62" i="16"/>
  <c r="Z62" i="16"/>
  <c r="AA62" i="16"/>
  <c r="Y63" i="16"/>
  <c r="Z63" i="16"/>
  <c r="AA63" i="16"/>
  <c r="Y64" i="16"/>
  <c r="Z64" i="16"/>
  <c r="AA64" i="16"/>
  <c r="Y65" i="16"/>
  <c r="Z65" i="16"/>
  <c r="AA65" i="16"/>
  <c r="Y66" i="16"/>
  <c r="Z66" i="16"/>
  <c r="AA66" i="16"/>
  <c r="Y67" i="16"/>
  <c r="Z67" i="16"/>
  <c r="AA67" i="16"/>
  <c r="Y68" i="16"/>
  <c r="Z68" i="16"/>
  <c r="AA68" i="16"/>
  <c r="Y69" i="16"/>
  <c r="Z69" i="16"/>
  <c r="AA69" i="16"/>
  <c r="Y70" i="16"/>
  <c r="Z70" i="16"/>
  <c r="AA70" i="16"/>
  <c r="Y71" i="16"/>
  <c r="Z71" i="16"/>
  <c r="AA71" i="16"/>
  <c r="U14" i="16"/>
  <c r="V14" i="16"/>
  <c r="W14" i="16"/>
  <c r="U15" i="16"/>
  <c r="V15" i="16"/>
  <c r="W15" i="16"/>
  <c r="U16" i="16"/>
  <c r="V16" i="16"/>
  <c r="W16" i="16"/>
  <c r="U17" i="16"/>
  <c r="V17" i="16"/>
  <c r="W17" i="16"/>
  <c r="U18" i="16"/>
  <c r="V18" i="16"/>
  <c r="W18" i="16"/>
  <c r="U19" i="16"/>
  <c r="V19" i="16"/>
  <c r="W19" i="16"/>
  <c r="U20" i="16"/>
  <c r="V20" i="16"/>
  <c r="W20" i="16"/>
  <c r="U21" i="16"/>
  <c r="V21" i="16"/>
  <c r="W21" i="16"/>
  <c r="U22" i="16"/>
  <c r="V22" i="16"/>
  <c r="W22" i="16"/>
  <c r="U23" i="16"/>
  <c r="V23" i="16"/>
  <c r="W23" i="16"/>
  <c r="U24" i="16"/>
  <c r="V24" i="16"/>
  <c r="W24" i="16"/>
  <c r="U25" i="16"/>
  <c r="V25" i="16"/>
  <c r="W25" i="16"/>
  <c r="U26" i="16"/>
  <c r="V26" i="16"/>
  <c r="W26" i="16"/>
  <c r="U27" i="16"/>
  <c r="V27" i="16"/>
  <c r="W27" i="16"/>
  <c r="U28" i="16"/>
  <c r="V28" i="16"/>
  <c r="W28" i="16"/>
  <c r="U29" i="16"/>
  <c r="V29" i="16"/>
  <c r="W29" i="16"/>
  <c r="U30" i="16"/>
  <c r="V30" i="16"/>
  <c r="W30" i="16"/>
  <c r="U31" i="16"/>
  <c r="V31" i="16"/>
  <c r="W31" i="16"/>
  <c r="U32" i="16"/>
  <c r="V32" i="16"/>
  <c r="W32" i="16"/>
  <c r="U33" i="16"/>
  <c r="V33" i="16"/>
  <c r="W33" i="16"/>
  <c r="U34" i="16"/>
  <c r="V34" i="16"/>
  <c r="W34" i="16"/>
  <c r="U35" i="16"/>
  <c r="V35" i="16"/>
  <c r="W35" i="16"/>
  <c r="U36" i="16"/>
  <c r="V36" i="16"/>
  <c r="W36" i="16"/>
  <c r="U37" i="16"/>
  <c r="V37" i="16"/>
  <c r="W37" i="16"/>
  <c r="U38" i="16"/>
  <c r="V38" i="16"/>
  <c r="W38" i="16"/>
  <c r="U39" i="16"/>
  <c r="V39" i="16"/>
  <c r="W39" i="16"/>
  <c r="U40" i="16"/>
  <c r="V40" i="16"/>
  <c r="W40" i="16"/>
  <c r="U41" i="16"/>
  <c r="V41" i="16"/>
  <c r="W41" i="16"/>
  <c r="U42" i="16"/>
  <c r="V42" i="16"/>
  <c r="W42" i="16"/>
  <c r="U43" i="16"/>
  <c r="V43" i="16"/>
  <c r="W43" i="16"/>
  <c r="U44" i="16"/>
  <c r="V44" i="16"/>
  <c r="W44" i="16"/>
  <c r="U45" i="16"/>
  <c r="V45" i="16"/>
  <c r="W45" i="16"/>
  <c r="U46" i="16"/>
  <c r="V46" i="16"/>
  <c r="W46" i="16"/>
  <c r="U47" i="16"/>
  <c r="V47" i="16"/>
  <c r="W47" i="16"/>
  <c r="U48" i="16"/>
  <c r="V48" i="16"/>
  <c r="W48" i="16"/>
  <c r="U49" i="16"/>
  <c r="V49" i="16"/>
  <c r="W49" i="16"/>
  <c r="U50" i="16"/>
  <c r="V50" i="16"/>
  <c r="W50" i="16"/>
  <c r="U51" i="16"/>
  <c r="V51" i="16"/>
  <c r="W51" i="16"/>
  <c r="U52" i="16"/>
  <c r="V52" i="16"/>
  <c r="W52" i="16"/>
  <c r="U53" i="16"/>
  <c r="V53" i="16"/>
  <c r="W53" i="16"/>
  <c r="U54" i="16"/>
  <c r="V54" i="16"/>
  <c r="W54" i="16"/>
  <c r="U55" i="16"/>
  <c r="V55" i="16"/>
  <c r="W55" i="16"/>
  <c r="U56" i="16"/>
  <c r="V56" i="16"/>
  <c r="W56" i="16"/>
  <c r="U57" i="16"/>
  <c r="V57" i="16"/>
  <c r="W57" i="16"/>
  <c r="U58" i="16"/>
  <c r="V58" i="16"/>
  <c r="W58" i="16"/>
  <c r="U59" i="16"/>
  <c r="V59" i="16"/>
  <c r="W59" i="16"/>
  <c r="U60" i="16"/>
  <c r="V60" i="16"/>
  <c r="W60" i="16"/>
  <c r="U61" i="16"/>
  <c r="V61" i="16"/>
  <c r="W61" i="16"/>
  <c r="U62" i="16"/>
  <c r="V62" i="16"/>
  <c r="W62" i="16"/>
  <c r="U63" i="16"/>
  <c r="V63" i="16"/>
  <c r="W63" i="16"/>
  <c r="U64" i="16"/>
  <c r="V64" i="16"/>
  <c r="W64" i="16"/>
  <c r="U65" i="16"/>
  <c r="V65" i="16"/>
  <c r="W65" i="16"/>
  <c r="U66" i="16"/>
  <c r="V66" i="16"/>
  <c r="W66" i="16"/>
  <c r="U67" i="16"/>
  <c r="V67" i="16"/>
  <c r="W67" i="16"/>
  <c r="U68" i="16"/>
  <c r="V68" i="16"/>
  <c r="W68" i="16"/>
  <c r="U69" i="16"/>
  <c r="V69" i="16"/>
  <c r="W69" i="16"/>
  <c r="U70" i="16"/>
  <c r="V70" i="16"/>
  <c r="W70" i="16"/>
  <c r="U71" i="16"/>
  <c r="V71" i="16"/>
  <c r="W71" i="16"/>
  <c r="AG13" i="16"/>
  <c r="AE13" i="16"/>
  <c r="AD13" i="16"/>
  <c r="AC13" i="16"/>
  <c r="AA13" i="16"/>
  <c r="Y13" i="16"/>
  <c r="W13" i="16"/>
  <c r="V13" i="16"/>
  <c r="U13" i="16"/>
  <c r="M14" i="16"/>
  <c r="N14" i="16"/>
  <c r="M15" i="16"/>
  <c r="N15" i="16"/>
  <c r="M16" i="16"/>
  <c r="N16" i="16"/>
  <c r="L17" i="16"/>
  <c r="M17" i="16"/>
  <c r="N17" i="16"/>
  <c r="L18" i="16"/>
  <c r="M18" i="16"/>
  <c r="N18" i="16"/>
  <c r="M19" i="16"/>
  <c r="N19" i="16"/>
  <c r="M20" i="16"/>
  <c r="N20" i="16"/>
  <c r="M21" i="16"/>
  <c r="AN21" i="16" s="1"/>
  <c r="N21" i="16"/>
  <c r="L22" i="16"/>
  <c r="N22" i="16"/>
  <c r="L23" i="16"/>
  <c r="M23" i="16"/>
  <c r="M24" i="16"/>
  <c r="N24" i="16"/>
  <c r="M25" i="16"/>
  <c r="AN25" i="16" s="1"/>
  <c r="N25" i="16"/>
  <c r="M26" i="16"/>
  <c r="N26" i="16"/>
  <c r="L27" i="16"/>
  <c r="M27" i="16"/>
  <c r="N27" i="16"/>
  <c r="L28" i="16"/>
  <c r="M28" i="16"/>
  <c r="N28" i="16"/>
  <c r="M29" i="16"/>
  <c r="N29" i="16"/>
  <c r="L30" i="16"/>
  <c r="AP30" i="16" s="1"/>
  <c r="M30" i="16"/>
  <c r="AK30" i="16" s="1"/>
  <c r="M31" i="16"/>
  <c r="N31" i="16"/>
  <c r="L32" i="16"/>
  <c r="N32" i="16"/>
  <c r="L33" i="16"/>
  <c r="N33" i="16"/>
  <c r="L34" i="16"/>
  <c r="M34" i="16"/>
  <c r="N34" i="16"/>
  <c r="M35" i="16"/>
  <c r="N35" i="16"/>
  <c r="M36" i="16"/>
  <c r="N36" i="16"/>
  <c r="L37" i="16"/>
  <c r="N37" i="16"/>
  <c r="L38" i="16"/>
  <c r="AP38" i="16" s="1"/>
  <c r="N38" i="16"/>
  <c r="AR38" i="16" s="1"/>
  <c r="M39" i="16"/>
  <c r="AN39" i="16" s="1"/>
  <c r="N39" i="16"/>
  <c r="AR39" i="16" s="1"/>
  <c r="M40" i="16"/>
  <c r="N40" i="16"/>
  <c r="M41" i="16"/>
  <c r="N41" i="16"/>
  <c r="L42" i="16"/>
  <c r="AM42" i="16" s="1"/>
  <c r="M42" i="16"/>
  <c r="AQ42" i="16" s="1"/>
  <c r="L43" i="16"/>
  <c r="M43" i="16"/>
  <c r="N43" i="16"/>
  <c r="L44" i="16"/>
  <c r="M44" i="16"/>
  <c r="N44" i="16"/>
  <c r="L45" i="16"/>
  <c r="M45" i="16"/>
  <c r="N45" i="16"/>
  <c r="L46" i="16"/>
  <c r="M46" i="16"/>
  <c r="N46" i="16"/>
  <c r="AR46" i="16" s="1"/>
  <c r="L47" i="16"/>
  <c r="M47" i="16"/>
  <c r="N47" i="16"/>
  <c r="L48" i="16"/>
  <c r="M48" i="16"/>
  <c r="N48" i="16"/>
  <c r="L49" i="16"/>
  <c r="M49" i="16"/>
  <c r="AN49" i="16" s="1"/>
  <c r="N49" i="16"/>
  <c r="L50" i="16"/>
  <c r="M50" i="16"/>
  <c r="AQ50" i="16" s="1"/>
  <c r="N50" i="16"/>
  <c r="L51" i="16"/>
  <c r="M51" i="16"/>
  <c r="N51" i="16"/>
  <c r="AR51" i="16" s="1"/>
  <c r="M52" i="16"/>
  <c r="N52" i="16"/>
  <c r="M53" i="16"/>
  <c r="AN53" i="16" s="1"/>
  <c r="N53" i="16"/>
  <c r="M54" i="16"/>
  <c r="AQ54" i="16" s="1"/>
  <c r="N54" i="16"/>
  <c r="AR54" i="16" s="1"/>
  <c r="M55" i="16"/>
  <c r="N55" i="16"/>
  <c r="M56" i="16"/>
  <c r="AK56" i="16" s="1"/>
  <c r="N56" i="16"/>
  <c r="M57" i="16"/>
  <c r="N57" i="16"/>
  <c r="M58" i="16"/>
  <c r="N58" i="16"/>
  <c r="AR58" i="16" s="1"/>
  <c r="M59" i="16"/>
  <c r="AK59" i="16" s="1"/>
  <c r="N59" i="16"/>
  <c r="AR59" i="16" s="1"/>
  <c r="M60" i="16"/>
  <c r="AQ60" i="16" s="1"/>
  <c r="N60" i="16"/>
  <c r="AR60" i="16" s="1"/>
  <c r="M61" i="16"/>
  <c r="N61" i="16"/>
  <c r="M62" i="16"/>
  <c r="AN62" i="16" s="1"/>
  <c r="N62" i="16"/>
  <c r="AR62" i="16" s="1"/>
  <c r="L63" i="16"/>
  <c r="AP63" i="16" s="1"/>
  <c r="N63" i="16"/>
  <c r="AR63" i="16" s="1"/>
  <c r="M64" i="16"/>
  <c r="AN64" i="16" s="1"/>
  <c r="N64" i="16"/>
  <c r="AR64" i="16" s="1"/>
  <c r="M65" i="16"/>
  <c r="AQ65" i="16" s="1"/>
  <c r="N65" i="16"/>
  <c r="AR65" i="16" s="1"/>
  <c r="M66" i="16"/>
  <c r="AN66" i="16" s="1"/>
  <c r="N66" i="16"/>
  <c r="AR66" i="16" s="1"/>
  <c r="M67" i="16"/>
  <c r="AQ67" i="16" s="1"/>
  <c r="N67" i="16"/>
  <c r="AR67" i="16" s="1"/>
  <c r="M68" i="16"/>
  <c r="AN68" i="16" s="1"/>
  <c r="N68" i="16"/>
  <c r="AR68" i="16" s="1"/>
  <c r="M69" i="16"/>
  <c r="AQ69" i="16" s="1"/>
  <c r="N69" i="16"/>
  <c r="AR69" i="16" s="1"/>
  <c r="M70" i="16"/>
  <c r="AN70" i="16" s="1"/>
  <c r="N70" i="16"/>
  <c r="AR70" i="16" s="1"/>
  <c r="M71" i="16"/>
  <c r="N71" i="16"/>
  <c r="AR71" i="16" s="1"/>
  <c r="N13" i="16"/>
  <c r="M13" i="16"/>
  <c r="K14" i="16"/>
  <c r="K15" i="16"/>
  <c r="K16" i="16"/>
  <c r="K19" i="16"/>
  <c r="K20" i="16"/>
  <c r="K21" i="16"/>
  <c r="K22" i="16"/>
  <c r="K23" i="16"/>
  <c r="K24" i="16"/>
  <c r="K25" i="16"/>
  <c r="K26" i="16"/>
  <c r="K29" i="16"/>
  <c r="K30" i="16"/>
  <c r="K31" i="16"/>
  <c r="K32" i="16"/>
  <c r="K33" i="16"/>
  <c r="K35" i="16"/>
  <c r="K36" i="16"/>
  <c r="K37" i="16"/>
  <c r="K38" i="16"/>
  <c r="K39" i="16"/>
  <c r="K40" i="16"/>
  <c r="K41" i="16"/>
  <c r="K42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13" i="16"/>
  <c r="J14" i="16"/>
  <c r="L14" i="16" s="1"/>
  <c r="J15" i="16"/>
  <c r="L15" i="16" s="1"/>
  <c r="J16" i="16"/>
  <c r="L16" i="16" s="1"/>
  <c r="J17" i="16"/>
  <c r="K17" i="16" s="1"/>
  <c r="J18" i="16"/>
  <c r="K18" i="16" s="1"/>
  <c r="J19" i="16"/>
  <c r="L19" i="16" s="1"/>
  <c r="J20" i="16"/>
  <c r="L20" i="16" s="1"/>
  <c r="J21" i="16"/>
  <c r="L21" i="16" s="1"/>
  <c r="J22" i="16"/>
  <c r="M22" i="16" s="1"/>
  <c r="J23" i="16"/>
  <c r="N23" i="16" s="1"/>
  <c r="J24" i="16"/>
  <c r="L24" i="16" s="1"/>
  <c r="J25" i="16"/>
  <c r="L25" i="16" s="1"/>
  <c r="J26" i="16"/>
  <c r="L26" i="16" s="1"/>
  <c r="J27" i="16"/>
  <c r="K27" i="16" s="1"/>
  <c r="J28" i="16"/>
  <c r="K28" i="16" s="1"/>
  <c r="J29" i="16"/>
  <c r="L29" i="16" s="1"/>
  <c r="J30" i="16"/>
  <c r="N30" i="16" s="1"/>
  <c r="AR30" i="16" s="1"/>
  <c r="J31" i="16"/>
  <c r="L31" i="16" s="1"/>
  <c r="J32" i="16"/>
  <c r="M32" i="16" s="1"/>
  <c r="J33" i="16"/>
  <c r="M33" i="16" s="1"/>
  <c r="J34" i="16"/>
  <c r="K34" i="16" s="1"/>
  <c r="J35" i="16"/>
  <c r="L35" i="16" s="1"/>
  <c r="J36" i="16"/>
  <c r="L36" i="16" s="1"/>
  <c r="J37" i="16"/>
  <c r="M37" i="16" s="1"/>
  <c r="AN37" i="16" s="1"/>
  <c r="J38" i="16"/>
  <c r="M38" i="16" s="1"/>
  <c r="AQ38" i="16" s="1"/>
  <c r="J39" i="16"/>
  <c r="L39" i="16" s="1"/>
  <c r="AJ39" i="16" s="1"/>
  <c r="J40" i="16"/>
  <c r="L40" i="16" s="1"/>
  <c r="J41" i="16"/>
  <c r="L41" i="16" s="1"/>
  <c r="J42" i="16"/>
  <c r="N42" i="16" s="1"/>
  <c r="AR42" i="16" s="1"/>
  <c r="J43" i="16"/>
  <c r="K43" i="16" s="1"/>
  <c r="J44" i="16"/>
  <c r="K44" i="16" s="1"/>
  <c r="J45" i="16"/>
  <c r="K45" i="16" s="1"/>
  <c r="J46" i="16"/>
  <c r="K46" i="16" s="1"/>
  <c r="J47" i="16"/>
  <c r="K47" i="16" s="1"/>
  <c r="J48" i="16"/>
  <c r="K48" i="16" s="1"/>
  <c r="J49" i="16"/>
  <c r="K49" i="16" s="1"/>
  <c r="J50" i="16"/>
  <c r="K50" i="16" s="1"/>
  <c r="J51" i="16"/>
  <c r="K51" i="16" s="1"/>
  <c r="J52" i="16"/>
  <c r="L52" i="16" s="1"/>
  <c r="J53" i="16"/>
  <c r="L53" i="16" s="1"/>
  <c r="J54" i="16"/>
  <c r="L54" i="16" s="1"/>
  <c r="J55" i="16"/>
  <c r="L55" i="16" s="1"/>
  <c r="J56" i="16"/>
  <c r="L56" i="16" s="1"/>
  <c r="J57" i="16"/>
  <c r="L57" i="16" s="1"/>
  <c r="J58" i="16"/>
  <c r="L58" i="16" s="1"/>
  <c r="J59" i="16"/>
  <c r="L59" i="16" s="1"/>
  <c r="J60" i="16"/>
  <c r="L60" i="16" s="1"/>
  <c r="AM60" i="16" s="1"/>
  <c r="J61" i="16"/>
  <c r="L61" i="16" s="1"/>
  <c r="J62" i="16"/>
  <c r="L62" i="16" s="1"/>
  <c r="J63" i="16"/>
  <c r="M63" i="16" s="1"/>
  <c r="AQ63" i="16" s="1"/>
  <c r="J64" i="16"/>
  <c r="L64" i="16" s="1"/>
  <c r="AJ64" i="16" s="1"/>
  <c r="J65" i="16"/>
  <c r="L65" i="16" s="1"/>
  <c r="J66" i="16"/>
  <c r="L66" i="16" s="1"/>
  <c r="J67" i="16"/>
  <c r="L67" i="16" s="1"/>
  <c r="J68" i="16"/>
  <c r="L68" i="16" s="1"/>
  <c r="AJ68" i="16" s="1"/>
  <c r="J69" i="16"/>
  <c r="L69" i="16" s="1"/>
  <c r="J70" i="16"/>
  <c r="L70" i="16" s="1"/>
  <c r="J71" i="16"/>
  <c r="L71" i="16" s="1"/>
  <c r="AO13" i="16" l="1"/>
  <c r="AN13" i="16"/>
  <c r="AL71" i="16"/>
  <c r="AI58" i="16"/>
  <c r="AO56" i="16"/>
  <c r="AL55" i="16"/>
  <c r="AO52" i="16"/>
  <c r="AL51" i="16"/>
  <c r="AI50" i="16"/>
  <c r="AO48" i="16"/>
  <c r="AL47" i="16"/>
  <c r="AI46" i="16"/>
  <c r="AO44" i="16"/>
  <c r="AL43" i="16"/>
  <c r="AO40" i="16"/>
  <c r="AO36" i="16"/>
  <c r="AL35" i="16"/>
  <c r="AI34" i="16"/>
  <c r="AO32" i="16"/>
  <c r="AL31" i="16"/>
  <c r="AO28" i="16"/>
  <c r="AL27" i="16"/>
  <c r="AI26" i="16"/>
  <c r="AO24" i="16"/>
  <c r="AL23" i="16"/>
  <c r="AI22" i="16"/>
  <c r="AO20" i="16"/>
  <c r="AL19" i="16"/>
  <c r="AI18" i="16"/>
  <c r="AO16" i="16"/>
  <c r="AL15" i="16"/>
  <c r="AI14" i="16"/>
  <c r="AM61" i="16"/>
  <c r="AP58" i="16"/>
  <c r="AM57" i="16"/>
  <c r="AJ56" i="16"/>
  <c r="AM53" i="16"/>
  <c r="AJ52" i="16"/>
  <c r="AP50" i="16"/>
  <c r="AM49" i="16"/>
  <c r="AJ48" i="16"/>
  <c r="AP46" i="16"/>
  <c r="AM45" i="16"/>
  <c r="AJ44" i="16"/>
  <c r="AM41" i="16"/>
  <c r="AJ40" i="16"/>
  <c r="AM37" i="16"/>
  <c r="AJ36" i="16"/>
  <c r="AP34" i="16"/>
  <c r="AM33" i="16"/>
  <c r="AJ32" i="16"/>
  <c r="AM29" i="16"/>
  <c r="AJ28" i="16"/>
  <c r="AP26" i="16"/>
  <c r="AM25" i="16"/>
  <c r="AJ24" i="16"/>
  <c r="AP22" i="16"/>
  <c r="AM21" i="16"/>
  <c r="AJ20" i="16"/>
  <c r="AP18" i="16"/>
  <c r="AM17" i="16"/>
  <c r="AJ16" i="16"/>
  <c r="AP14" i="16"/>
  <c r="AN71" i="16"/>
  <c r="AK58" i="16"/>
  <c r="AQ56" i="16"/>
  <c r="AN55" i="16"/>
  <c r="AQ52" i="16"/>
  <c r="AN51" i="16"/>
  <c r="AK50" i="16"/>
  <c r="AQ48" i="16"/>
  <c r="AN47" i="16"/>
  <c r="AK46" i="16"/>
  <c r="AQ44" i="16"/>
  <c r="AN43" i="16"/>
  <c r="AQ40" i="16"/>
  <c r="AQ36" i="16"/>
  <c r="AN35" i="16"/>
  <c r="AK34" i="16"/>
  <c r="AQ32" i="16"/>
  <c r="AN31" i="16"/>
  <c r="AR56" i="16"/>
  <c r="AR52" i="16"/>
  <c r="AR48" i="16"/>
  <c r="AR44" i="16"/>
  <c r="AR28" i="16"/>
  <c r="AR24" i="16"/>
  <c r="AR20" i="16"/>
  <c r="AQ13" i="16"/>
  <c r="AI71" i="16"/>
  <c r="AO61" i="16"/>
  <c r="AO57" i="16"/>
  <c r="AL56" i="16"/>
  <c r="AI55" i="16"/>
  <c r="AO53" i="16"/>
  <c r="AL52" i="16"/>
  <c r="AI51" i="16"/>
  <c r="AO49" i="16"/>
  <c r="AL48" i="16"/>
  <c r="AI47" i="16"/>
  <c r="AO45" i="16"/>
  <c r="AL44" i="16"/>
  <c r="AI43" i="16"/>
  <c r="AO41" i="16"/>
  <c r="AL40" i="16"/>
  <c r="AO37" i="16"/>
  <c r="AL36" i="16"/>
  <c r="AI35" i="16"/>
  <c r="AO33" i="16"/>
  <c r="AL32" i="16"/>
  <c r="AI31" i="16"/>
  <c r="AO29" i="16"/>
  <c r="AL28" i="16"/>
  <c r="AI27" i="16"/>
  <c r="AO25" i="16"/>
  <c r="AL24" i="16"/>
  <c r="AI23" i="16"/>
  <c r="AO21" i="16"/>
  <c r="AL20" i="16"/>
  <c r="AI19" i="16"/>
  <c r="AO17" i="16"/>
  <c r="AL16" i="16"/>
  <c r="AI15" i="16"/>
  <c r="AP71" i="16"/>
  <c r="AJ61" i="16"/>
  <c r="AM58" i="16"/>
  <c r="AJ57" i="16"/>
  <c r="AP55" i="16"/>
  <c r="AJ53" i="16"/>
  <c r="AP51" i="16"/>
  <c r="AM50" i="16"/>
  <c r="AJ49" i="16"/>
  <c r="AP47" i="16"/>
  <c r="AM46" i="16"/>
  <c r="AJ45" i="16"/>
  <c r="AP43" i="16"/>
  <c r="AJ41" i="16"/>
  <c r="AJ37" i="16"/>
  <c r="AP35" i="16"/>
  <c r="AM34" i="16"/>
  <c r="AJ33" i="16"/>
  <c r="AP31" i="16"/>
  <c r="AK71" i="16"/>
  <c r="AQ61" i="16"/>
  <c r="AQ57" i="16"/>
  <c r="AN56" i="16"/>
  <c r="AK55" i="16"/>
  <c r="AQ53" i="16"/>
  <c r="AN52" i="16"/>
  <c r="AK51" i="16"/>
  <c r="AQ49" i="16"/>
  <c r="AN48" i="16"/>
  <c r="AN44" i="16"/>
  <c r="AK27" i="16"/>
  <c r="AK23" i="16"/>
  <c r="AK19" i="16"/>
  <c r="AR55" i="16"/>
  <c r="AR47" i="16"/>
  <c r="AR35" i="16"/>
  <c r="AR31" i="16"/>
  <c r="AI13" i="16"/>
  <c r="AR13" i="16"/>
  <c r="AL61" i="16"/>
  <c r="AO58" i="16"/>
  <c r="AV58" i="16" s="1"/>
  <c r="AL57" i="16"/>
  <c r="AI56" i="16"/>
  <c r="AT56" i="16" s="1"/>
  <c r="AL53" i="16"/>
  <c r="AU53" i="16" s="1"/>
  <c r="AI52" i="16"/>
  <c r="AO50" i="16"/>
  <c r="AL49" i="16"/>
  <c r="AU49" i="16" s="1"/>
  <c r="AL45" i="16"/>
  <c r="AL29" i="16"/>
  <c r="AO26" i="16"/>
  <c r="AO22" i="16"/>
  <c r="AO18" i="16"/>
  <c r="AM71" i="16"/>
  <c r="AJ58" i="16"/>
  <c r="AP56" i="16"/>
  <c r="AM55" i="16"/>
  <c r="AP52" i="16"/>
  <c r="AM51" i="16"/>
  <c r="AJ50" i="16"/>
  <c r="AP48" i="16"/>
  <c r="AJ46" i="16"/>
  <c r="AP40" i="16"/>
  <c r="AP36" i="16"/>
  <c r="AP32" i="16"/>
  <c r="AN61" i="16"/>
  <c r="AQ58" i="16"/>
  <c r="AN57" i="16"/>
  <c r="AK52" i="16"/>
  <c r="AN45" i="16"/>
  <c r="AN41" i="16"/>
  <c r="AN33" i="16"/>
  <c r="AR50" i="16"/>
  <c r="AL13" i="16"/>
  <c r="AK13" i="16"/>
  <c r="AO71" i="16"/>
  <c r="AI61" i="16"/>
  <c r="AL58" i="16"/>
  <c r="AI57" i="16"/>
  <c r="AO55" i="16"/>
  <c r="AI53" i="16"/>
  <c r="AO51" i="16"/>
  <c r="AL50" i="16"/>
  <c r="AI49" i="16"/>
  <c r="AO47" i="16"/>
  <c r="AL46" i="16"/>
  <c r="AI45" i="16"/>
  <c r="AO43" i="16"/>
  <c r="AI41" i="16"/>
  <c r="AI37" i="16"/>
  <c r="AO35" i="16"/>
  <c r="AL34" i="16"/>
  <c r="AI33" i="16"/>
  <c r="AO31" i="16"/>
  <c r="AI29" i="16"/>
  <c r="AO27" i="16"/>
  <c r="AL26" i="16"/>
  <c r="AI25" i="16"/>
  <c r="AO23" i="16"/>
  <c r="AL22" i="16"/>
  <c r="AI21" i="16"/>
  <c r="AO19" i="16"/>
  <c r="AL18" i="16"/>
  <c r="AI17" i="16"/>
  <c r="AO15" i="16"/>
  <c r="AL14" i="16"/>
  <c r="AJ71" i="16"/>
  <c r="AP61" i="16"/>
  <c r="AP57" i="16"/>
  <c r="AM56" i="16"/>
  <c r="AJ55" i="16"/>
  <c r="AP53" i="16"/>
  <c r="AM52" i="16"/>
  <c r="AJ51" i="16"/>
  <c r="AP49" i="16"/>
  <c r="AM48" i="16"/>
  <c r="AJ47" i="16"/>
  <c r="AP45" i="16"/>
  <c r="AM44" i="16"/>
  <c r="AJ43" i="16"/>
  <c r="AP41" i="16"/>
  <c r="AM40" i="16"/>
  <c r="AP37" i="16"/>
  <c r="AM36" i="16"/>
  <c r="AJ35" i="16"/>
  <c r="AP33" i="16"/>
  <c r="AM32" i="16"/>
  <c r="AJ31" i="16"/>
  <c r="AP29" i="16"/>
  <c r="AM28" i="16"/>
  <c r="AJ27" i="16"/>
  <c r="AP25" i="16"/>
  <c r="AM24" i="16"/>
  <c r="AJ23" i="16"/>
  <c r="AP21" i="16"/>
  <c r="AM20" i="16"/>
  <c r="AJ19" i="16"/>
  <c r="AT19" i="16" s="1"/>
  <c r="AP17" i="16"/>
  <c r="AM16" i="16"/>
  <c r="AJ15" i="16"/>
  <c r="AQ71" i="16"/>
  <c r="AK61" i="16"/>
  <c r="AN58" i="16"/>
  <c r="AK57" i="16"/>
  <c r="AQ55" i="16"/>
  <c r="AK53" i="16"/>
  <c r="AQ51" i="16"/>
  <c r="AN50" i="16"/>
  <c r="AK49" i="16"/>
  <c r="AQ47" i="16"/>
  <c r="AN46" i="16"/>
  <c r="AK45" i="16"/>
  <c r="AQ43" i="16"/>
  <c r="AK41" i="16"/>
  <c r="AK37" i="16"/>
  <c r="AQ27" i="16"/>
  <c r="AQ23" i="16"/>
  <c r="AQ19" i="16"/>
  <c r="AR61" i="16"/>
  <c r="AR57" i="16"/>
  <c r="AR53" i="16"/>
  <c r="AR49" i="16"/>
  <c r="AR45" i="16"/>
  <c r="AR41" i="16"/>
  <c r="AR37" i="16"/>
  <c r="AR33" i="16"/>
  <c r="AI48" i="16"/>
  <c r="AO46" i="16"/>
  <c r="AI44" i="16"/>
  <c r="AL41" i="16"/>
  <c r="AU41" i="16" s="1"/>
  <c r="AI40" i="16"/>
  <c r="AL37" i="16"/>
  <c r="AU37" i="16" s="1"/>
  <c r="AI36" i="16"/>
  <c r="AT36" i="16" s="1"/>
  <c r="AO34" i="16"/>
  <c r="AL33" i="16"/>
  <c r="AI32" i="16"/>
  <c r="AI28" i="16"/>
  <c r="AL25" i="16"/>
  <c r="AI24" i="16"/>
  <c r="AL21" i="16"/>
  <c r="AI20" i="16"/>
  <c r="AL17" i="16"/>
  <c r="AI16" i="16"/>
  <c r="AO14" i="16"/>
  <c r="AM47" i="16"/>
  <c r="AP44" i="16"/>
  <c r="AM43" i="16"/>
  <c r="AM35" i="16"/>
  <c r="AJ34" i="16"/>
  <c r="AM31" i="16"/>
  <c r="AP28" i="16"/>
  <c r="AM27" i="16"/>
  <c r="AU27" i="16" s="1"/>
  <c r="AJ26" i="16"/>
  <c r="AT26" i="16" s="1"/>
  <c r="AP24" i="16"/>
  <c r="AM23" i="16"/>
  <c r="AJ22" i="16"/>
  <c r="AT22" i="16" s="1"/>
  <c r="AP20" i="16"/>
  <c r="AV20" i="16" s="1"/>
  <c r="AM19" i="16"/>
  <c r="AJ18" i="16"/>
  <c r="AP16" i="16"/>
  <c r="AM15" i="16"/>
  <c r="AU15" i="16" s="1"/>
  <c r="AJ14" i="16"/>
  <c r="AK48" i="16"/>
  <c r="AQ46" i="16"/>
  <c r="AK44" i="16"/>
  <c r="AK40" i="16"/>
  <c r="AK36" i="16"/>
  <c r="AQ34" i="16"/>
  <c r="AK32" i="16"/>
  <c r="AN29" i="16"/>
  <c r="AK28" i="16"/>
  <c r="AQ26" i="16"/>
  <c r="AK24" i="16"/>
  <c r="AQ22" i="16"/>
  <c r="AK20" i="16"/>
  <c r="AQ18" i="16"/>
  <c r="AN17" i="16"/>
  <c r="AK16" i="16"/>
  <c r="AQ14" i="16"/>
  <c r="AR34" i="16"/>
  <c r="AR26" i="16"/>
  <c r="AR22" i="16"/>
  <c r="AR18" i="16"/>
  <c r="AR14" i="16"/>
  <c r="AQ35" i="16"/>
  <c r="AN34" i="16"/>
  <c r="AK33" i="16"/>
  <c r="AQ31" i="16"/>
  <c r="AK29" i="16"/>
  <c r="AN26" i="16"/>
  <c r="AK25" i="16"/>
  <c r="AN22" i="16"/>
  <c r="AK21" i="16"/>
  <c r="AN18" i="16"/>
  <c r="AK17" i="16"/>
  <c r="AQ15" i="16"/>
  <c r="AN14" i="16"/>
  <c r="AR29" i="16"/>
  <c r="AR25" i="16"/>
  <c r="AR21" i="16"/>
  <c r="AR17" i="16"/>
  <c r="AQ28" i="16"/>
  <c r="AN27" i="16"/>
  <c r="AK26" i="16"/>
  <c r="AQ24" i="16"/>
  <c r="AN23" i="16"/>
  <c r="AK22" i="16"/>
  <c r="AQ20" i="16"/>
  <c r="AN19" i="16"/>
  <c r="AK18" i="16"/>
  <c r="AQ16" i="16"/>
  <c r="AN15" i="16"/>
  <c r="AK14" i="16"/>
  <c r="AR40" i="16"/>
  <c r="AR36" i="16"/>
  <c r="AR32" i="16"/>
  <c r="AR16" i="16"/>
  <c r="AJ29" i="16"/>
  <c r="AP27" i="16"/>
  <c r="AM26" i="16"/>
  <c r="AU26" i="16" s="1"/>
  <c r="AJ25" i="16"/>
  <c r="AT25" i="16" s="1"/>
  <c r="AP23" i="16"/>
  <c r="AM22" i="16"/>
  <c r="AJ21" i="16"/>
  <c r="AP19" i="16"/>
  <c r="AM18" i="16"/>
  <c r="AU18" i="16" s="1"/>
  <c r="AJ17" i="16"/>
  <c r="AP15" i="16"/>
  <c r="AV15" i="16" s="1"/>
  <c r="AM14" i="16"/>
  <c r="AU14" i="16" s="1"/>
  <c r="AK47" i="16"/>
  <c r="AQ45" i="16"/>
  <c r="AK43" i="16"/>
  <c r="AQ41" i="16"/>
  <c r="AN40" i="16"/>
  <c r="AQ37" i="16"/>
  <c r="AN36" i="16"/>
  <c r="AK35" i="16"/>
  <c r="AQ33" i="16"/>
  <c r="AN32" i="16"/>
  <c r="AK31" i="16"/>
  <c r="AQ29" i="16"/>
  <c r="AN28" i="16"/>
  <c r="AQ25" i="16"/>
  <c r="AN24" i="16"/>
  <c r="AQ21" i="16"/>
  <c r="AN20" i="16"/>
  <c r="AQ17" i="16"/>
  <c r="AN16" i="16"/>
  <c r="AK15" i="16"/>
  <c r="AR43" i="16"/>
  <c r="AR27" i="16"/>
  <c r="AR23" i="16"/>
  <c r="AR19" i="16"/>
  <c r="AR15" i="16"/>
  <c r="AN59" i="16"/>
  <c r="AP60" i="16"/>
  <c r="AJ59" i="16"/>
  <c r="AL60" i="16"/>
  <c r="AQ70" i="16"/>
  <c r="AM70" i="16"/>
  <c r="AI70" i="16"/>
  <c r="AO69" i="16"/>
  <c r="AK69" i="16"/>
  <c r="AQ68" i="16"/>
  <c r="AM68" i="16"/>
  <c r="AI68" i="16"/>
  <c r="AO67" i="16"/>
  <c r="AK67" i="16"/>
  <c r="AQ66" i="16"/>
  <c r="AM66" i="16"/>
  <c r="AI66" i="16"/>
  <c r="AO65" i="16"/>
  <c r="AK65" i="16"/>
  <c r="AQ64" i="16"/>
  <c r="AM64" i="16"/>
  <c r="AI64" i="16"/>
  <c r="AO63" i="16"/>
  <c r="AV63" i="16" s="1"/>
  <c r="AK63" i="16"/>
  <c r="AQ62" i="16"/>
  <c r="AM62" i="16"/>
  <c r="AI62" i="16"/>
  <c r="AP70" i="16"/>
  <c r="AL70" i="16"/>
  <c r="AN69" i="16"/>
  <c r="AJ69" i="16"/>
  <c r="AP68" i="16"/>
  <c r="AL68" i="16"/>
  <c r="AN67" i="16"/>
  <c r="AJ67" i="16"/>
  <c r="AP66" i="16"/>
  <c r="AL66" i="16"/>
  <c r="AN65" i="16"/>
  <c r="AJ65" i="16"/>
  <c r="AP64" i="16"/>
  <c r="AL64" i="16"/>
  <c r="AU64" i="16" s="1"/>
  <c r="AN63" i="16"/>
  <c r="AJ63" i="16"/>
  <c r="AP62" i="16"/>
  <c r="AL62" i="16"/>
  <c r="AO70" i="16"/>
  <c r="AV70" i="16" s="1"/>
  <c r="AK70" i="16"/>
  <c r="AM69" i="16"/>
  <c r="AI69" i="16"/>
  <c r="AO68" i="16"/>
  <c r="AV68" i="16" s="1"/>
  <c r="AK68" i="16"/>
  <c r="AM67" i="16"/>
  <c r="AI67" i="16"/>
  <c r="AO66" i="16"/>
  <c r="AK66" i="16"/>
  <c r="AM65" i="16"/>
  <c r="AI65" i="16"/>
  <c r="AO64" i="16"/>
  <c r="AV64" i="16" s="1"/>
  <c r="AK64" i="16"/>
  <c r="AM63" i="16"/>
  <c r="AI63" i="16"/>
  <c r="AO62" i="16"/>
  <c r="AV62" i="16" s="1"/>
  <c r="AK62" i="16"/>
  <c r="AJ70" i="16"/>
  <c r="AP69" i="16"/>
  <c r="AL69" i="16"/>
  <c r="AU69" i="16" s="1"/>
  <c r="AP67" i="16"/>
  <c r="AL67" i="16"/>
  <c r="AJ66" i="16"/>
  <c r="AP65" i="16"/>
  <c r="AL65" i="16"/>
  <c r="AU65" i="16" s="1"/>
  <c r="AL63" i="16"/>
  <c r="AJ62" i="16"/>
  <c r="AO60" i="16"/>
  <c r="AV60" i="16" s="1"/>
  <c r="AK60" i="16"/>
  <c r="AQ59" i="16"/>
  <c r="AM59" i="16"/>
  <c r="AI59" i="16"/>
  <c r="AN60" i="16"/>
  <c r="AJ60" i="16"/>
  <c r="AP59" i="16"/>
  <c r="AL59" i="16"/>
  <c r="AU59" i="16" s="1"/>
  <c r="AI60" i="16"/>
  <c r="AO59" i="16"/>
  <c r="AO54" i="16"/>
  <c r="AK54" i="16"/>
  <c r="AN54" i="16"/>
  <c r="AJ54" i="16"/>
  <c r="AM54" i="16"/>
  <c r="AI54" i="16"/>
  <c r="AT54" i="16" s="1"/>
  <c r="AP54" i="16"/>
  <c r="AL54" i="16"/>
  <c r="AQ39" i="16"/>
  <c r="AM39" i="16"/>
  <c r="AI39" i="16"/>
  <c r="AO38" i="16"/>
  <c r="AV38" i="16" s="1"/>
  <c r="AK38" i="16"/>
  <c r="AP39" i="16"/>
  <c r="AL39" i="16"/>
  <c r="AU39" i="16" s="1"/>
  <c r="AN38" i="16"/>
  <c r="AJ38" i="16"/>
  <c r="AO39" i="16"/>
  <c r="AK39" i="16"/>
  <c r="AM38" i="16"/>
  <c r="AI38" i="16"/>
  <c r="AT38" i="16" s="1"/>
  <c r="AL38" i="16"/>
  <c r="AU38" i="16" s="1"/>
  <c r="AR12" i="16"/>
  <c r="AP42" i="16"/>
  <c r="AL42" i="16"/>
  <c r="AO42" i="16"/>
  <c r="AK42" i="16"/>
  <c r="AK12" i="16" s="1"/>
  <c r="AN42" i="16"/>
  <c r="AJ42" i="16"/>
  <c r="AI42" i="16"/>
  <c r="AN30" i="16"/>
  <c r="AJ30" i="16"/>
  <c r="AQ30" i="16"/>
  <c r="AM30" i="16"/>
  <c r="AI30" i="16"/>
  <c r="AL30" i="16"/>
  <c r="AO30" i="16"/>
  <c r="J12" i="16"/>
  <c r="O48" i="16"/>
  <c r="O51" i="16"/>
  <c r="O47" i="16"/>
  <c r="O27" i="16"/>
  <c r="O50" i="16"/>
  <c r="O46" i="16"/>
  <c r="O34" i="16"/>
  <c r="O18" i="16"/>
  <c r="N12" i="16"/>
  <c r="O44" i="16"/>
  <c r="O28" i="16"/>
  <c r="O43" i="16"/>
  <c r="M12" i="16"/>
  <c r="O70" i="16"/>
  <c r="O66" i="16"/>
  <c r="O62" i="16"/>
  <c r="O58" i="16"/>
  <c r="O54" i="16"/>
  <c r="O42" i="16"/>
  <c r="O38" i="16"/>
  <c r="O30" i="16"/>
  <c r="O26" i="16"/>
  <c r="O22" i="16"/>
  <c r="O14" i="16"/>
  <c r="O13" i="16"/>
  <c r="O69" i="16"/>
  <c r="O65" i="16"/>
  <c r="O61" i="16"/>
  <c r="O57" i="16"/>
  <c r="O53" i="16"/>
  <c r="O49" i="16"/>
  <c r="O45" i="16"/>
  <c r="O41" i="16"/>
  <c r="O37" i="16"/>
  <c r="O33" i="16"/>
  <c r="O29" i="16"/>
  <c r="O25" i="16"/>
  <c r="O21" i="16"/>
  <c r="O17" i="16"/>
  <c r="K12" i="16"/>
  <c r="O68" i="16"/>
  <c r="O64" i="16"/>
  <c r="O60" i="16"/>
  <c r="O56" i="16"/>
  <c r="O52" i="16"/>
  <c r="O40" i="16"/>
  <c r="O36" i="16"/>
  <c r="O32" i="16"/>
  <c r="O24" i="16"/>
  <c r="O20" i="16"/>
  <c r="O16" i="16"/>
  <c r="O71" i="16"/>
  <c r="O67" i="16"/>
  <c r="O63" i="16"/>
  <c r="O59" i="16"/>
  <c r="O55" i="16"/>
  <c r="O39" i="16"/>
  <c r="O35" i="16"/>
  <c r="O31" i="16"/>
  <c r="O23" i="16"/>
  <c r="O19" i="16"/>
  <c r="O15" i="16"/>
  <c r="AT23" i="16" l="1"/>
  <c r="AU28" i="16"/>
  <c r="AV31" i="16"/>
  <c r="AT37" i="16"/>
  <c r="AU46" i="16"/>
  <c r="AV51" i="16"/>
  <c r="AU58" i="16"/>
  <c r="AU29" i="16"/>
  <c r="AT52" i="16"/>
  <c r="AU43" i="16"/>
  <c r="AT17" i="16"/>
  <c r="AT27" i="16"/>
  <c r="AT45" i="16"/>
  <c r="AU50" i="16"/>
  <c r="AT57" i="16"/>
  <c r="AU57" i="16"/>
  <c r="AU42" i="16"/>
  <c r="AU66" i="16"/>
  <c r="AU22" i="16"/>
  <c r="AV27" i="16"/>
  <c r="AT18" i="16"/>
  <c r="AU23" i="16"/>
  <c r="AV28" i="16"/>
  <c r="AU33" i="16"/>
  <c r="AT40" i="16"/>
  <c r="AT48" i="16"/>
  <c r="AT15" i="16"/>
  <c r="AU20" i="16"/>
  <c r="AV25" i="16"/>
  <c r="AU34" i="16"/>
  <c r="AV43" i="16"/>
  <c r="AT49" i="16"/>
  <c r="AV55" i="16"/>
  <c r="AV71" i="16"/>
  <c r="AT31" i="16"/>
  <c r="AU36" i="16"/>
  <c r="AT43" i="16"/>
  <c r="AU48" i="16"/>
  <c r="AV53" i="16"/>
  <c r="AV61" i="16"/>
  <c r="AV18" i="16"/>
  <c r="AT24" i="16"/>
  <c r="AU31" i="16"/>
  <c r="AV36" i="16"/>
  <c r="AT46" i="16"/>
  <c r="AU51" i="16"/>
  <c r="AT58" i="16"/>
  <c r="AV23" i="16"/>
  <c r="AT14" i="16"/>
  <c r="AU19" i="16"/>
  <c r="AV24" i="16"/>
  <c r="AV34" i="16"/>
  <c r="AM13" i="16"/>
  <c r="AU16" i="16"/>
  <c r="AV21" i="16"/>
  <c r="AT29" i="16"/>
  <c r="AV35" i="16"/>
  <c r="AV50" i="16"/>
  <c r="AP13" i="16"/>
  <c r="AV13" i="16" s="1"/>
  <c r="AU32" i="16"/>
  <c r="AV37" i="16"/>
  <c r="AU44" i="16"/>
  <c r="AV49" i="16"/>
  <c r="AT55" i="16"/>
  <c r="AT71" i="16"/>
  <c r="AV14" i="16"/>
  <c r="AT20" i="16"/>
  <c r="AU25" i="16"/>
  <c r="AV32" i="16"/>
  <c r="AV40" i="16"/>
  <c r="AU47" i="16"/>
  <c r="AV52" i="16"/>
  <c r="AU71" i="16"/>
  <c r="AV19" i="16"/>
  <c r="AT44" i="16"/>
  <c r="AV17" i="16"/>
  <c r="AU13" i="16"/>
  <c r="AV33" i="16"/>
  <c r="AU40" i="16"/>
  <c r="AV45" i="16"/>
  <c r="AT51" i="16"/>
  <c r="AU56" i="16"/>
  <c r="AT16" i="16"/>
  <c r="AU21" i="16"/>
  <c r="AV26" i="16"/>
  <c r="AT34" i="16"/>
  <c r="AV48" i="16"/>
  <c r="AU55" i="16"/>
  <c r="AT42" i="16"/>
  <c r="AT21" i="16"/>
  <c r="AV16" i="16"/>
  <c r="AT32" i="16"/>
  <c r="AV46" i="16"/>
  <c r="AU24" i="16"/>
  <c r="AT33" i="16"/>
  <c r="AT41" i="16"/>
  <c r="AV47" i="16"/>
  <c r="AT53" i="16"/>
  <c r="AT61" i="16"/>
  <c r="AU45" i="16"/>
  <c r="AU61" i="16"/>
  <c r="AV29" i="16"/>
  <c r="AT35" i="16"/>
  <c r="AV41" i="16"/>
  <c r="AT47" i="16"/>
  <c r="AU52" i="16"/>
  <c r="AV57" i="16"/>
  <c r="AJ13" i="16"/>
  <c r="AT13" i="16" s="1"/>
  <c r="AU17" i="16"/>
  <c r="AV22" i="16"/>
  <c r="AT28" i="16"/>
  <c r="AU35" i="16"/>
  <c r="AV44" i="16"/>
  <c r="AT50" i="16"/>
  <c r="AV56" i="16"/>
  <c r="AV66" i="16"/>
  <c r="AT63" i="16"/>
  <c r="AT65" i="16"/>
  <c r="AT67" i="16"/>
  <c r="AT69" i="16"/>
  <c r="AU68" i="16"/>
  <c r="AU70" i="16"/>
  <c r="AT60" i="16"/>
  <c r="AU60" i="16"/>
  <c r="AT59" i="16"/>
  <c r="AV54" i="16"/>
  <c r="AN12" i="16"/>
  <c r="AU63" i="16"/>
  <c r="AU67" i="16"/>
  <c r="AT68" i="16"/>
  <c r="AV69" i="16"/>
  <c r="AT62" i="16"/>
  <c r="AT70" i="16"/>
  <c r="AT64" i="16"/>
  <c r="AV65" i="16"/>
  <c r="AU62" i="16"/>
  <c r="AT66" i="16"/>
  <c r="AV67" i="16"/>
  <c r="AV59" i="16"/>
  <c r="AU54" i="16"/>
  <c r="AM12" i="16"/>
  <c r="AT39" i="16"/>
  <c r="AQ12" i="16"/>
  <c r="AV39" i="16"/>
  <c r="AV42" i="16"/>
  <c r="AO12" i="16"/>
  <c r="AV30" i="16"/>
  <c r="AU30" i="16"/>
  <c r="AL12" i="16"/>
  <c r="AT30" i="16"/>
  <c r="AI12" i="16"/>
  <c r="L12" i="16"/>
  <c r="O12" i="16" s="1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2" i="10"/>
  <c r="CJ43" i="10"/>
  <c r="CJ44" i="10"/>
  <c r="CJ45" i="10"/>
  <c r="CJ46" i="10"/>
  <c r="CJ47" i="10"/>
  <c r="CJ48" i="10"/>
  <c r="CJ49" i="10"/>
  <c r="CJ50" i="10"/>
  <c r="CJ52" i="10"/>
  <c r="CJ53" i="10"/>
  <c r="CJ54" i="10"/>
  <c r="CJ55" i="10"/>
  <c r="CJ56" i="10"/>
  <c r="CJ57" i="10"/>
  <c r="CJ58" i="10"/>
  <c r="CJ59" i="10"/>
  <c r="CJ60" i="10"/>
  <c r="CJ61" i="10"/>
  <c r="CJ62" i="10"/>
  <c r="CJ63" i="10"/>
  <c r="CJ64" i="10"/>
  <c r="CJ65" i="10"/>
  <c r="CJ66" i="10"/>
  <c r="CJ67" i="10"/>
  <c r="CJ68" i="10"/>
  <c r="CJ69" i="10"/>
  <c r="CJ70" i="10"/>
  <c r="CJ71" i="10"/>
  <c r="CJ72" i="10"/>
  <c r="CJ73" i="10"/>
  <c r="CJ74" i="10"/>
  <c r="CJ75" i="10"/>
  <c r="CJ76" i="10"/>
  <c r="CJ77" i="10"/>
  <c r="CJ78" i="10"/>
  <c r="CJ79" i="10"/>
  <c r="CJ80" i="10"/>
  <c r="CJ81" i="10"/>
  <c r="CJ82" i="10"/>
  <c r="CJ83" i="10"/>
  <c r="CJ85" i="10"/>
  <c r="AJ12" i="16" l="1"/>
  <c r="AP12" i="16"/>
  <c r="AU12" i="16"/>
  <c r="AT12" i="16"/>
  <c r="AV12" i="16"/>
  <c r="D5" i="7" l="1"/>
  <c r="G8" i="10"/>
  <c r="CH85" i="10"/>
  <c r="BF85" i="10"/>
  <c r="BF84" i="10" s="1"/>
  <c r="AW85" i="10"/>
  <c r="AV85" i="10"/>
  <c r="BH85" i="10" s="1"/>
  <c r="BH84" i="10" s="1"/>
  <c r="AU85" i="10"/>
  <c r="AR85" i="10"/>
  <c r="AQ85" i="10"/>
  <c r="AP85" i="10"/>
  <c r="AJ85" i="10"/>
  <c r="BD85" i="10" s="1"/>
  <c r="BD84" i="10" s="1"/>
  <c r="AI85" i="10"/>
  <c r="AC85" i="10"/>
  <c r="AB85" i="10"/>
  <c r="Y85" i="10"/>
  <c r="X85" i="10"/>
  <c r="W85" i="10"/>
  <c r="U85" i="10"/>
  <c r="V85" i="10" s="1"/>
  <c r="R85" i="10"/>
  <c r="CH84" i="10"/>
  <c r="CA84" i="10"/>
  <c r="BZ84" i="10"/>
  <c r="AV84" i="10"/>
  <c r="AR84" i="10"/>
  <c r="AQ84" i="10"/>
  <c r="AP84" i="10"/>
  <c r="AC84" i="10"/>
  <c r="O84" i="10"/>
  <c r="N84" i="10"/>
  <c r="CJ84" i="10" s="1"/>
  <c r="L84" i="10"/>
  <c r="K84" i="10"/>
  <c r="J84" i="10"/>
  <c r="I84" i="10"/>
  <c r="G84" i="10"/>
  <c r="F84" i="10"/>
  <c r="CH82" i="10"/>
  <c r="AW82" i="10"/>
  <c r="AU82" i="10"/>
  <c r="AV82" i="10" s="1"/>
  <c r="BH82" i="10" s="1"/>
  <c r="AR82" i="10"/>
  <c r="AQ82" i="10"/>
  <c r="AP82" i="10"/>
  <c r="AM82" i="10"/>
  <c r="AL82" i="10"/>
  <c r="AK82" i="10"/>
  <c r="AI82" i="10"/>
  <c r="AJ82" i="10" s="1"/>
  <c r="AF82" i="10"/>
  <c r="AE82" i="10"/>
  <c r="AD82" i="10"/>
  <c r="AB82" i="10"/>
  <c r="AC82" i="10" s="1"/>
  <c r="Y82" i="10"/>
  <c r="X82" i="10"/>
  <c r="W82" i="10"/>
  <c r="U82" i="10"/>
  <c r="V82" i="10" s="1"/>
  <c r="CH81" i="10"/>
  <c r="AW81" i="10"/>
  <c r="BH81" i="10" s="1"/>
  <c r="AV81" i="10"/>
  <c r="AU81" i="10"/>
  <c r="AR81" i="10"/>
  <c r="AQ81" i="10"/>
  <c r="AP81" i="10"/>
  <c r="AM81" i="10"/>
  <c r="BG81" i="10" s="1"/>
  <c r="AL81" i="10"/>
  <c r="AK81" i="10"/>
  <c r="BA81" i="10" s="1"/>
  <c r="AJ81" i="10"/>
  <c r="BD81" i="10" s="1"/>
  <c r="AI81" i="10"/>
  <c r="AF81" i="10"/>
  <c r="AE81" i="10"/>
  <c r="AD81" i="10"/>
  <c r="AB81" i="10"/>
  <c r="AC81" i="10" s="1"/>
  <c r="Y81" i="10"/>
  <c r="X81" i="10"/>
  <c r="W81" i="10"/>
  <c r="AY81" i="10" s="1"/>
  <c r="V81" i="10"/>
  <c r="U81" i="10"/>
  <c r="R81" i="10"/>
  <c r="BV81" i="10" s="1"/>
  <c r="BW81" i="10" s="1"/>
  <c r="Q81" i="10"/>
  <c r="CH80" i="10"/>
  <c r="BW80" i="10"/>
  <c r="BH80" i="10"/>
  <c r="AY80" i="10"/>
  <c r="AW80" i="10"/>
  <c r="AV80" i="10"/>
  <c r="AU80" i="10"/>
  <c r="AR80" i="10"/>
  <c r="AQ80" i="10"/>
  <c r="AP80" i="10"/>
  <c r="AM80" i="10"/>
  <c r="AL80" i="10"/>
  <c r="AK80" i="10"/>
  <c r="AJ80" i="10"/>
  <c r="AI80" i="10"/>
  <c r="AF80" i="10"/>
  <c r="AE80" i="10"/>
  <c r="AD80" i="10"/>
  <c r="AB80" i="10"/>
  <c r="AC80" i="10" s="1"/>
  <c r="Y80" i="10"/>
  <c r="BE80" i="10" s="1"/>
  <c r="X80" i="10"/>
  <c r="W80" i="10"/>
  <c r="U80" i="10"/>
  <c r="V80" i="10" s="1"/>
  <c r="R80" i="10"/>
  <c r="BV80" i="10" s="1"/>
  <c r="CH79" i="10"/>
  <c r="AW79" i="10"/>
  <c r="AU79" i="10"/>
  <c r="AV79" i="10" s="1"/>
  <c r="AR79" i="10"/>
  <c r="AQ79" i="10"/>
  <c r="AP79" i="10"/>
  <c r="AM79" i="10"/>
  <c r="AL79" i="10"/>
  <c r="AK79" i="10"/>
  <c r="AI79" i="10"/>
  <c r="AJ79" i="10" s="1"/>
  <c r="AF79" i="10"/>
  <c r="AE79" i="10"/>
  <c r="AD79" i="10"/>
  <c r="AB79" i="10"/>
  <c r="AC79" i="10" s="1"/>
  <c r="Y79" i="10"/>
  <c r="BE79" i="10" s="1"/>
  <c r="X79" i="10"/>
  <c r="W79" i="10"/>
  <c r="AY79" i="10" s="1"/>
  <c r="V79" i="10"/>
  <c r="U79" i="10"/>
  <c r="CH78" i="10"/>
  <c r="AW78" i="10"/>
  <c r="AV78" i="10"/>
  <c r="BH78" i="10" s="1"/>
  <c r="AU78" i="10"/>
  <c r="AR78" i="10"/>
  <c r="AQ78" i="10"/>
  <c r="AP78" i="10"/>
  <c r="AM78" i="10"/>
  <c r="AL78" i="10"/>
  <c r="AK78" i="10"/>
  <c r="AJ78" i="10"/>
  <c r="AI78" i="10"/>
  <c r="AF78" i="10"/>
  <c r="BF78" i="10" s="1"/>
  <c r="AE78" i="10"/>
  <c r="AD78" i="10"/>
  <c r="AC78" i="10"/>
  <c r="AB78" i="10"/>
  <c r="Y78" i="10"/>
  <c r="BE78" i="10" s="1"/>
  <c r="X78" i="10"/>
  <c r="W78" i="10"/>
  <c r="V78" i="10"/>
  <c r="U78" i="10"/>
  <c r="CH77" i="10"/>
  <c r="AW77" i="10"/>
  <c r="AV77" i="10"/>
  <c r="BH77" i="10" s="1"/>
  <c r="AU77" i="10"/>
  <c r="AR77" i="10"/>
  <c r="AQ77" i="10"/>
  <c r="AP77" i="10"/>
  <c r="AM77" i="10"/>
  <c r="AL77" i="10"/>
  <c r="BD77" i="10" s="1"/>
  <c r="AK77" i="10"/>
  <c r="AJ77" i="10"/>
  <c r="AI77" i="10"/>
  <c r="AD77" i="10"/>
  <c r="AC77" i="10"/>
  <c r="AB77" i="10"/>
  <c r="Y77" i="10"/>
  <c r="X77" i="10"/>
  <c r="BB77" i="10" s="1"/>
  <c r="W77" i="10"/>
  <c r="AY77" i="10" s="1"/>
  <c r="V77" i="10"/>
  <c r="U77" i="10"/>
  <c r="R77" i="10"/>
  <c r="CH76" i="10"/>
  <c r="BH76" i="10"/>
  <c r="AW76" i="10"/>
  <c r="AU76" i="10"/>
  <c r="AV76" i="10" s="1"/>
  <c r="AR76" i="10"/>
  <c r="AQ76" i="10"/>
  <c r="AP76" i="10"/>
  <c r="AM76" i="10"/>
  <c r="BG76" i="10" s="1"/>
  <c r="AL76" i="10"/>
  <c r="AK76" i="10"/>
  <c r="AI76" i="10"/>
  <c r="AJ76" i="10" s="1"/>
  <c r="AD76" i="10"/>
  <c r="AC76" i="10"/>
  <c r="AB76" i="10"/>
  <c r="Y76" i="10"/>
  <c r="X76" i="10"/>
  <c r="W76" i="10"/>
  <c r="U76" i="10"/>
  <c r="V76" i="10" s="1"/>
  <c r="CH75" i="10"/>
  <c r="CH74" i="10" s="1"/>
  <c r="AW75" i="10"/>
  <c r="AU75" i="10"/>
  <c r="AV75" i="10" s="1"/>
  <c r="AR75" i="10"/>
  <c r="AQ75" i="10"/>
  <c r="AP75" i="10"/>
  <c r="AM75" i="10"/>
  <c r="AL75" i="10"/>
  <c r="AK75" i="10"/>
  <c r="AI75" i="10"/>
  <c r="AJ75" i="10" s="1"/>
  <c r="AD75" i="10"/>
  <c r="AB75" i="10"/>
  <c r="AC75" i="10" s="1"/>
  <c r="Y75" i="10"/>
  <c r="X75" i="10"/>
  <c r="W75" i="10"/>
  <c r="U75" i="10"/>
  <c r="V75" i="10" s="1"/>
  <c r="CA74" i="10"/>
  <c r="BZ74" i="10"/>
  <c r="AR74" i="10"/>
  <c r="AQ74" i="10"/>
  <c r="AP74" i="10"/>
  <c r="O74" i="10"/>
  <c r="N74" i="10"/>
  <c r="L74" i="10"/>
  <c r="K74" i="10"/>
  <c r="J74" i="10"/>
  <c r="I74" i="10"/>
  <c r="G74" i="10"/>
  <c r="F74" i="10"/>
  <c r="CH72" i="10"/>
  <c r="AW72" i="10"/>
  <c r="AV72" i="10"/>
  <c r="BH72" i="10" s="1"/>
  <c r="AU72" i="10"/>
  <c r="AR72" i="10"/>
  <c r="AQ72" i="10"/>
  <c r="AP72" i="10"/>
  <c r="AM72" i="10"/>
  <c r="AL72" i="10"/>
  <c r="AK72" i="10"/>
  <c r="AJ72" i="10"/>
  <c r="AI72" i="10"/>
  <c r="AF72" i="10"/>
  <c r="AE72" i="10"/>
  <c r="AD72" i="10"/>
  <c r="AB72" i="10"/>
  <c r="AC72" i="10" s="1"/>
  <c r="Y72" i="10"/>
  <c r="BE72" i="10" s="1"/>
  <c r="X72" i="10"/>
  <c r="W72" i="10"/>
  <c r="AY72" i="10" s="1"/>
  <c r="V72" i="10"/>
  <c r="U72" i="10"/>
  <c r="CH71" i="10"/>
  <c r="AW71" i="10"/>
  <c r="AU71" i="10"/>
  <c r="AV71" i="10" s="1"/>
  <c r="AR71" i="10"/>
  <c r="AQ71" i="10"/>
  <c r="AP71" i="10"/>
  <c r="AM71" i="10"/>
  <c r="AL71" i="10"/>
  <c r="BD71" i="10" s="1"/>
  <c r="AK71" i="10"/>
  <c r="AI71" i="10"/>
  <c r="AJ71" i="10" s="1"/>
  <c r="AF71" i="10"/>
  <c r="AE71" i="10"/>
  <c r="BC71" i="10" s="1"/>
  <c r="AD71" i="10"/>
  <c r="AC71" i="10"/>
  <c r="AB71" i="10"/>
  <c r="Y71" i="10"/>
  <c r="BE71" i="10" s="1"/>
  <c r="X71" i="10"/>
  <c r="W71" i="10"/>
  <c r="V71" i="10"/>
  <c r="U71" i="10"/>
  <c r="R71" i="10"/>
  <c r="CH70" i="10"/>
  <c r="AW70" i="10"/>
  <c r="AV70" i="10"/>
  <c r="BH70" i="10" s="1"/>
  <c r="AU70" i="10"/>
  <c r="AR70" i="10"/>
  <c r="AQ70" i="10"/>
  <c r="AP70" i="10"/>
  <c r="AM70" i="10"/>
  <c r="AL70" i="10"/>
  <c r="AK70" i="10"/>
  <c r="AJ70" i="10"/>
  <c r="AI70" i="10"/>
  <c r="AF70" i="10"/>
  <c r="AE70" i="10"/>
  <c r="AD70" i="10"/>
  <c r="AB70" i="10"/>
  <c r="AC70" i="10" s="1"/>
  <c r="Y70" i="10"/>
  <c r="X70" i="10"/>
  <c r="BB70" i="10" s="1"/>
  <c r="W70" i="10"/>
  <c r="U70" i="10"/>
  <c r="V70" i="10" s="1"/>
  <c r="R70" i="10" s="1"/>
  <c r="CH69" i="10"/>
  <c r="AW69" i="10"/>
  <c r="AU69" i="10"/>
  <c r="AV69" i="10" s="1"/>
  <c r="BH69" i="10" s="1"/>
  <c r="AR69" i="10"/>
  <c r="AQ69" i="10"/>
  <c r="AP69" i="10"/>
  <c r="AM69" i="10"/>
  <c r="AL69" i="10"/>
  <c r="BD69" i="10" s="1"/>
  <c r="AJ69" i="10"/>
  <c r="AI69" i="10"/>
  <c r="AF69" i="10"/>
  <c r="AE69" i="10"/>
  <c r="AC69" i="10"/>
  <c r="AB69" i="10"/>
  <c r="Y69" i="10"/>
  <c r="X69" i="10"/>
  <c r="V69" i="10"/>
  <c r="R69" i="10" s="1"/>
  <c r="U69" i="10"/>
  <c r="Q69" i="10"/>
  <c r="CH68" i="10"/>
  <c r="AZ68" i="10"/>
  <c r="AW68" i="10"/>
  <c r="AV68" i="10"/>
  <c r="BH68" i="10" s="1"/>
  <c r="AU68" i="10"/>
  <c r="AR68" i="10"/>
  <c r="AQ68" i="10"/>
  <c r="AP68" i="10"/>
  <c r="AM68" i="10"/>
  <c r="AL68" i="10"/>
  <c r="AI68" i="10"/>
  <c r="AJ68" i="10" s="1"/>
  <c r="AF68" i="10"/>
  <c r="BF68" i="10" s="1"/>
  <c r="AE68" i="10"/>
  <c r="AC68" i="10"/>
  <c r="AB68" i="10"/>
  <c r="Y68" i="10"/>
  <c r="X68" i="10"/>
  <c r="BB68" i="10" s="1"/>
  <c r="U68" i="10"/>
  <c r="V68" i="10" s="1"/>
  <c r="CH67" i="10"/>
  <c r="AW67" i="10"/>
  <c r="AU67" i="10"/>
  <c r="AV67" i="10" s="1"/>
  <c r="AR67" i="10"/>
  <c r="AQ67" i="10"/>
  <c r="AP67" i="10"/>
  <c r="AM67" i="10"/>
  <c r="AL67" i="10"/>
  <c r="AJ67" i="10"/>
  <c r="AI67" i="10"/>
  <c r="AF67" i="10"/>
  <c r="AE67" i="10"/>
  <c r="AC67" i="10"/>
  <c r="AB67" i="10"/>
  <c r="Y67" i="10"/>
  <c r="X67" i="10"/>
  <c r="V67" i="10"/>
  <c r="U67" i="10"/>
  <c r="CH66" i="10"/>
  <c r="BH66" i="10"/>
  <c r="AW66" i="10"/>
  <c r="AV66" i="10"/>
  <c r="AU66" i="10"/>
  <c r="AR66" i="10"/>
  <c r="AQ66" i="10"/>
  <c r="AP66" i="10"/>
  <c r="AM66" i="10"/>
  <c r="AL66" i="10"/>
  <c r="AI66" i="10"/>
  <c r="AJ66" i="10" s="1"/>
  <c r="AF66" i="10"/>
  <c r="AE66" i="10"/>
  <c r="AC66" i="10"/>
  <c r="AB66" i="10"/>
  <c r="Y66" i="10"/>
  <c r="X66" i="10"/>
  <c r="BB66" i="10" s="1"/>
  <c r="U66" i="10"/>
  <c r="V66" i="10" s="1"/>
  <c r="R66" i="10" s="1"/>
  <c r="Q66" i="10" s="1"/>
  <c r="CH65" i="10"/>
  <c r="AW65" i="10"/>
  <c r="AU65" i="10"/>
  <c r="AV65" i="10" s="1"/>
  <c r="AR65" i="10"/>
  <c r="AQ65" i="10"/>
  <c r="AP65" i="10"/>
  <c r="AM65" i="10"/>
  <c r="AL65" i="10"/>
  <c r="BD65" i="10" s="1"/>
  <c r="AJ65" i="10"/>
  <c r="AI65" i="10"/>
  <c r="AF65" i="10"/>
  <c r="AE65" i="10"/>
  <c r="AC65" i="10"/>
  <c r="AB65" i="10"/>
  <c r="Y65" i="10"/>
  <c r="X65" i="10"/>
  <c r="V65" i="10"/>
  <c r="R65" i="10" s="1"/>
  <c r="U65" i="10"/>
  <c r="Q65" i="10"/>
  <c r="CH64" i="10"/>
  <c r="AW64" i="10"/>
  <c r="AV64" i="10"/>
  <c r="BH64" i="10" s="1"/>
  <c r="AU64" i="10"/>
  <c r="AR64" i="10"/>
  <c r="AQ64" i="10"/>
  <c r="AP64" i="10"/>
  <c r="AM64" i="10"/>
  <c r="BG64" i="10" s="1"/>
  <c r="AL64" i="10"/>
  <c r="AK64" i="10"/>
  <c r="AJ64" i="10"/>
  <c r="AI64" i="10"/>
  <c r="AF64" i="10"/>
  <c r="BF64" i="10" s="1"/>
  <c r="AE64" i="10"/>
  <c r="AD64" i="10"/>
  <c r="AC64" i="10"/>
  <c r="AB64" i="10"/>
  <c r="Y64" i="10"/>
  <c r="X64" i="10"/>
  <c r="BB64" i="10" s="1"/>
  <c r="W64" i="10"/>
  <c r="U64" i="10"/>
  <c r="V64" i="10" s="1"/>
  <c r="CH63" i="10"/>
  <c r="BA63" i="10"/>
  <c r="AW63" i="10"/>
  <c r="AV63" i="10"/>
  <c r="BH63" i="10" s="1"/>
  <c r="AU63" i="10"/>
  <c r="AR63" i="10"/>
  <c r="AQ63" i="10"/>
  <c r="AP63" i="10"/>
  <c r="AM63" i="10"/>
  <c r="AL63" i="10"/>
  <c r="AK63" i="10"/>
  <c r="AJ63" i="10"/>
  <c r="AI63" i="10"/>
  <c r="AF63" i="10"/>
  <c r="AE63" i="10"/>
  <c r="AD63" i="10"/>
  <c r="AB63" i="10"/>
  <c r="AC63" i="10" s="1"/>
  <c r="Y63" i="10"/>
  <c r="BE63" i="10" s="1"/>
  <c r="X63" i="10"/>
  <c r="W63" i="10"/>
  <c r="AY63" i="10" s="1"/>
  <c r="V63" i="10"/>
  <c r="U63" i="10"/>
  <c r="CH62" i="10"/>
  <c r="AW62" i="10"/>
  <c r="AV62" i="10"/>
  <c r="BH62" i="10" s="1"/>
  <c r="AU62" i="10"/>
  <c r="AR62" i="10"/>
  <c r="AQ62" i="10"/>
  <c r="AP62" i="10"/>
  <c r="AM62" i="10"/>
  <c r="AL62" i="10"/>
  <c r="AK62" i="10"/>
  <c r="AJ62" i="10"/>
  <c r="AI62" i="10"/>
  <c r="AF62" i="10"/>
  <c r="AE62" i="10"/>
  <c r="AD62" i="10"/>
  <c r="AC62" i="10"/>
  <c r="AB62" i="10"/>
  <c r="Y62" i="10"/>
  <c r="X62" i="10"/>
  <c r="BB62" i="10" s="1"/>
  <c r="W62" i="10"/>
  <c r="V62" i="10"/>
  <c r="U62" i="10"/>
  <c r="CH61" i="10"/>
  <c r="AW61" i="10"/>
  <c r="AV61" i="10"/>
  <c r="BH61" i="10" s="1"/>
  <c r="AU61" i="10"/>
  <c r="AR61" i="10"/>
  <c r="AQ61" i="10"/>
  <c r="AP61" i="10"/>
  <c r="AM61" i="10"/>
  <c r="AL61" i="10"/>
  <c r="BD61" i="10" s="1"/>
  <c r="AK61" i="10"/>
  <c r="AJ61" i="10"/>
  <c r="AI61" i="10"/>
  <c r="AF61" i="10"/>
  <c r="AE61" i="10"/>
  <c r="AD61" i="10"/>
  <c r="AB61" i="10"/>
  <c r="AC61" i="10" s="1"/>
  <c r="Y61" i="10"/>
  <c r="X61" i="10"/>
  <c r="W61" i="10"/>
  <c r="AY61" i="10" s="1"/>
  <c r="V61" i="10"/>
  <c r="U61" i="10"/>
  <c r="R61" i="10"/>
  <c r="BV61" i="10" s="1"/>
  <c r="BW61" i="10" s="1"/>
  <c r="CH60" i="10"/>
  <c r="BF60" i="10"/>
  <c r="AW60" i="10"/>
  <c r="AU60" i="10"/>
  <c r="AV60" i="10" s="1"/>
  <c r="BH60" i="10" s="1"/>
  <c r="AR60" i="10"/>
  <c r="AQ60" i="10"/>
  <c r="AP60" i="10"/>
  <c r="AM60" i="10"/>
  <c r="BG60" i="10" s="1"/>
  <c r="AL60" i="10"/>
  <c r="AK60" i="10"/>
  <c r="AI60" i="10"/>
  <c r="AJ60" i="10" s="1"/>
  <c r="AF60" i="10"/>
  <c r="AE60" i="10"/>
  <c r="AD60" i="10"/>
  <c r="AB60" i="10"/>
  <c r="AC60" i="10" s="1"/>
  <c r="Y60" i="10"/>
  <c r="X60" i="10"/>
  <c r="W60" i="10"/>
  <c r="U60" i="10"/>
  <c r="V60" i="10" s="1"/>
  <c r="CH59" i="10"/>
  <c r="AW59" i="10"/>
  <c r="AV59" i="10"/>
  <c r="BH59" i="10" s="1"/>
  <c r="AU59" i="10"/>
  <c r="AR59" i="10"/>
  <c r="AQ59" i="10"/>
  <c r="AP59" i="10"/>
  <c r="AM59" i="10"/>
  <c r="AL59" i="10"/>
  <c r="AK59" i="10"/>
  <c r="AJ59" i="10"/>
  <c r="AI59" i="10"/>
  <c r="AF59" i="10"/>
  <c r="BF59" i="10" s="1"/>
  <c r="AE59" i="10"/>
  <c r="BC59" i="10" s="1"/>
  <c r="AD59" i="10"/>
  <c r="AC59" i="10"/>
  <c r="AZ59" i="10" s="1"/>
  <c r="AB59" i="10"/>
  <c r="Y59" i="10"/>
  <c r="X59" i="10"/>
  <c r="W59" i="10"/>
  <c r="V59" i="10"/>
  <c r="U59" i="10"/>
  <c r="CH58" i="10"/>
  <c r="CH56" i="10" s="1"/>
  <c r="AW58" i="10"/>
  <c r="AV58" i="10"/>
  <c r="BH58" i="10" s="1"/>
  <c r="AU58" i="10"/>
  <c r="AR58" i="10"/>
  <c r="AQ58" i="10"/>
  <c r="AP58" i="10"/>
  <c r="AM58" i="10"/>
  <c r="AL58" i="10"/>
  <c r="BD58" i="10" s="1"/>
  <c r="AK58" i="10"/>
  <c r="AJ58" i="10"/>
  <c r="AI58" i="10"/>
  <c r="AF58" i="10"/>
  <c r="AE58" i="10"/>
  <c r="BC58" i="10" s="1"/>
  <c r="AD58" i="10"/>
  <c r="AC58" i="10"/>
  <c r="AB58" i="10"/>
  <c r="Y58" i="10"/>
  <c r="X58" i="10"/>
  <c r="W58" i="10"/>
  <c r="U58" i="10"/>
  <c r="V58" i="10" s="1"/>
  <c r="CH57" i="10"/>
  <c r="AW57" i="10"/>
  <c r="AU57" i="10"/>
  <c r="AV57" i="10" s="1"/>
  <c r="AR57" i="10"/>
  <c r="AQ57" i="10"/>
  <c r="AP57" i="10"/>
  <c r="AM57" i="10"/>
  <c r="AL57" i="10"/>
  <c r="BD57" i="10" s="1"/>
  <c r="AK57" i="10"/>
  <c r="BA57" i="10" s="1"/>
  <c r="AI57" i="10"/>
  <c r="AJ57" i="10" s="1"/>
  <c r="BG57" i="10" s="1"/>
  <c r="AF57" i="10"/>
  <c r="AE57" i="10"/>
  <c r="AD57" i="10"/>
  <c r="AB57" i="10"/>
  <c r="AC57" i="10" s="1"/>
  <c r="Y57" i="10"/>
  <c r="X57" i="10"/>
  <c r="BB57" i="10" s="1"/>
  <c r="W57" i="10"/>
  <c r="V57" i="10"/>
  <c r="U57" i="10"/>
  <c r="CA56" i="10"/>
  <c r="BZ56" i="10"/>
  <c r="AR56" i="10"/>
  <c r="AQ56" i="10"/>
  <c r="AP56" i="10"/>
  <c r="AJ56" i="10"/>
  <c r="O56" i="10"/>
  <c r="N56" i="10"/>
  <c r="L56" i="10"/>
  <c r="K56" i="10"/>
  <c r="J56" i="10"/>
  <c r="I56" i="10"/>
  <c r="G56" i="10"/>
  <c r="F56" i="10"/>
  <c r="CH54" i="10"/>
  <c r="AW54" i="10"/>
  <c r="AV54" i="10"/>
  <c r="BH54" i="10" s="1"/>
  <c r="AU54" i="10"/>
  <c r="AR54" i="10"/>
  <c r="AQ54" i="10"/>
  <c r="AP54" i="10"/>
  <c r="AM54" i="10"/>
  <c r="AL54" i="10"/>
  <c r="AK54" i="10"/>
  <c r="BA54" i="10" s="1"/>
  <c r="AJ54" i="10"/>
  <c r="AI54" i="10"/>
  <c r="AF54" i="10"/>
  <c r="AE54" i="10"/>
  <c r="AD54" i="10"/>
  <c r="AB54" i="10"/>
  <c r="AC54" i="10" s="1"/>
  <c r="Y54" i="10"/>
  <c r="BE54" i="10" s="1"/>
  <c r="X54" i="10"/>
  <c r="W54" i="10"/>
  <c r="V54" i="10"/>
  <c r="U54" i="10"/>
  <c r="S54" i="10"/>
  <c r="CH53" i="10"/>
  <c r="CH51" i="10" s="1"/>
  <c r="BH53" i="10"/>
  <c r="AW53" i="10"/>
  <c r="AU53" i="10"/>
  <c r="AV53" i="10" s="1"/>
  <c r="AR53" i="10"/>
  <c r="AQ53" i="10"/>
  <c r="AP53" i="10"/>
  <c r="AM53" i="10"/>
  <c r="AL53" i="10"/>
  <c r="AK53" i="10"/>
  <c r="AI53" i="10"/>
  <c r="AJ53" i="10" s="1"/>
  <c r="AF53" i="10"/>
  <c r="AE53" i="10"/>
  <c r="BC53" i="10" s="1"/>
  <c r="AD53" i="10"/>
  <c r="AZ53" i="10" s="1"/>
  <c r="AC53" i="10"/>
  <c r="AB53" i="10"/>
  <c r="Y53" i="10"/>
  <c r="BE53" i="10" s="1"/>
  <c r="X53" i="10"/>
  <c r="W53" i="10"/>
  <c r="V53" i="10"/>
  <c r="U53" i="10"/>
  <c r="CH52" i="10"/>
  <c r="AW52" i="10"/>
  <c r="AU52" i="10"/>
  <c r="AV52" i="10" s="1"/>
  <c r="AR52" i="10"/>
  <c r="AQ52" i="10"/>
  <c r="AP52" i="10"/>
  <c r="AM52" i="10"/>
  <c r="BG52" i="10" s="1"/>
  <c r="AL52" i="10"/>
  <c r="BD52" i="10" s="1"/>
  <c r="AK52" i="10"/>
  <c r="BA52" i="10" s="1"/>
  <c r="AI52" i="10"/>
  <c r="AJ52" i="10" s="1"/>
  <c r="AF52" i="10"/>
  <c r="AE52" i="10"/>
  <c r="AD52" i="10"/>
  <c r="AB52" i="10"/>
  <c r="AC52" i="10" s="1"/>
  <c r="Y52" i="10"/>
  <c r="X52" i="10"/>
  <c r="W52" i="10"/>
  <c r="U52" i="10"/>
  <c r="V52" i="10" s="1"/>
  <c r="CA51" i="10"/>
  <c r="BZ51" i="10"/>
  <c r="AR51" i="10"/>
  <c r="AQ51" i="10"/>
  <c r="AP51" i="10"/>
  <c r="O51" i="10"/>
  <c r="N51" i="10"/>
  <c r="CJ51" i="10" s="1"/>
  <c r="L51" i="10"/>
  <c r="K51" i="10"/>
  <c r="J51" i="10"/>
  <c r="I51" i="10"/>
  <c r="G51" i="10"/>
  <c r="F51" i="10"/>
  <c r="CH49" i="10"/>
  <c r="AZ49" i="10"/>
  <c r="AW49" i="10"/>
  <c r="AV49" i="10"/>
  <c r="BH49" i="10" s="1"/>
  <c r="AU49" i="10"/>
  <c r="AM49" i="10"/>
  <c r="AL49" i="10"/>
  <c r="AK49" i="10"/>
  <c r="AJ49" i="10"/>
  <c r="AI49" i="10"/>
  <c r="AF49" i="10"/>
  <c r="AE49" i="10"/>
  <c r="AD49" i="10"/>
  <c r="AB49" i="10"/>
  <c r="AC49" i="10" s="1"/>
  <c r="Y49" i="10"/>
  <c r="X49" i="10"/>
  <c r="W49" i="10"/>
  <c r="U49" i="10"/>
  <c r="V49" i="10" s="1"/>
  <c r="S49" i="10"/>
  <c r="R49" i="10" s="1"/>
  <c r="Q49" i="10" s="1"/>
  <c r="CH48" i="10"/>
  <c r="AW48" i="10"/>
  <c r="AU48" i="10"/>
  <c r="AV48" i="10" s="1"/>
  <c r="AR48" i="10"/>
  <c r="AQ48" i="10"/>
  <c r="AP48" i="10"/>
  <c r="AM48" i="10"/>
  <c r="AL48" i="10"/>
  <c r="AK48" i="10"/>
  <c r="AI48" i="10"/>
  <c r="AJ48" i="10" s="1"/>
  <c r="AF48" i="10"/>
  <c r="AE48" i="10"/>
  <c r="AD48" i="10"/>
  <c r="AB48" i="10"/>
  <c r="AC48" i="10" s="1"/>
  <c r="Y48" i="10"/>
  <c r="X48" i="10"/>
  <c r="W48" i="10"/>
  <c r="V48" i="10"/>
  <c r="R48" i="10" s="1"/>
  <c r="U48" i="10"/>
  <c r="CH47" i="10"/>
  <c r="AW47" i="10"/>
  <c r="AV47" i="10"/>
  <c r="BH47" i="10" s="1"/>
  <c r="AU47" i="10"/>
  <c r="AR47" i="10"/>
  <c r="AQ47" i="10"/>
  <c r="AP47" i="10"/>
  <c r="AM47" i="10"/>
  <c r="AL47" i="10"/>
  <c r="AK47" i="10"/>
  <c r="AJ47" i="10"/>
  <c r="BG47" i="10" s="1"/>
  <c r="AI47" i="10"/>
  <c r="AF47" i="10"/>
  <c r="AE47" i="10"/>
  <c r="AD47" i="10"/>
  <c r="AB47" i="10"/>
  <c r="AC47" i="10" s="1"/>
  <c r="Y47" i="10"/>
  <c r="BE47" i="10" s="1"/>
  <c r="X47" i="10"/>
  <c r="BB47" i="10" s="1"/>
  <c r="W47" i="10"/>
  <c r="AY47" i="10" s="1"/>
  <c r="U47" i="10"/>
  <c r="V47" i="10" s="1"/>
  <c r="R47" i="10"/>
  <c r="CH46" i="10"/>
  <c r="AW46" i="10"/>
  <c r="AV46" i="10"/>
  <c r="AU46" i="10"/>
  <c r="AR46" i="10"/>
  <c r="AQ46" i="10"/>
  <c r="AP46" i="10"/>
  <c r="AM46" i="10"/>
  <c r="AL46" i="10"/>
  <c r="BD46" i="10" s="1"/>
  <c r="AK46" i="10"/>
  <c r="AJ46" i="10"/>
  <c r="AI46" i="10"/>
  <c r="AF46" i="10"/>
  <c r="BF46" i="10" s="1"/>
  <c r="AE46" i="10"/>
  <c r="AD46" i="10"/>
  <c r="AB46" i="10"/>
  <c r="AC46" i="10" s="1"/>
  <c r="Y46" i="10"/>
  <c r="X46" i="10"/>
  <c r="W46" i="10"/>
  <c r="U46" i="10"/>
  <c r="V46" i="10" s="1"/>
  <c r="CH45" i="10"/>
  <c r="AW45" i="10"/>
  <c r="AU45" i="10"/>
  <c r="AV45" i="10" s="1"/>
  <c r="BH45" i="10" s="1"/>
  <c r="AR45" i="10"/>
  <c r="AQ45" i="10"/>
  <c r="AP45" i="10"/>
  <c r="AM45" i="10"/>
  <c r="AL45" i="10"/>
  <c r="BD45" i="10" s="1"/>
  <c r="AK45" i="10"/>
  <c r="AI45" i="10"/>
  <c r="AJ45" i="10" s="1"/>
  <c r="AF45" i="10"/>
  <c r="AE45" i="10"/>
  <c r="AD45" i="10"/>
  <c r="AC45" i="10"/>
  <c r="AB45" i="10"/>
  <c r="Y45" i="10"/>
  <c r="X45" i="10"/>
  <c r="W45" i="10"/>
  <c r="V45" i="10"/>
  <c r="U45" i="10"/>
  <c r="R45" i="10"/>
  <c r="CH44" i="10"/>
  <c r="AW44" i="10"/>
  <c r="AV44" i="10"/>
  <c r="BH44" i="10" s="1"/>
  <c r="AU44" i="10"/>
  <c r="AR44" i="10"/>
  <c r="AQ44" i="10"/>
  <c r="AP44" i="10"/>
  <c r="AM44" i="10"/>
  <c r="AL44" i="10"/>
  <c r="AK44" i="10"/>
  <c r="AJ44" i="10"/>
  <c r="AI44" i="10"/>
  <c r="AF44" i="10"/>
  <c r="AE44" i="10"/>
  <c r="BC44" i="10" s="1"/>
  <c r="AD44" i="10"/>
  <c r="AB44" i="10"/>
  <c r="AC44" i="10" s="1"/>
  <c r="Y44" i="10"/>
  <c r="X44" i="10"/>
  <c r="W44" i="10"/>
  <c r="U44" i="10"/>
  <c r="V44" i="10" s="1"/>
  <c r="CH43" i="10"/>
  <c r="AW43" i="10"/>
  <c r="AU43" i="10"/>
  <c r="AV43" i="10" s="1"/>
  <c r="BH43" i="10" s="1"/>
  <c r="AR43" i="10"/>
  <c r="AQ43" i="10"/>
  <c r="AP43" i="10"/>
  <c r="AM43" i="10"/>
  <c r="AL43" i="10"/>
  <c r="BD43" i="10" s="1"/>
  <c r="AK43" i="10"/>
  <c r="BA43" i="10" s="1"/>
  <c r="AI43" i="10"/>
  <c r="AJ43" i="10" s="1"/>
  <c r="AF43" i="10"/>
  <c r="BF43" i="10" s="1"/>
  <c r="AE43" i="10"/>
  <c r="BC43" i="10" s="1"/>
  <c r="AD43" i="10"/>
  <c r="AC43" i="10"/>
  <c r="AZ43" i="10" s="1"/>
  <c r="AB43" i="10"/>
  <c r="Y43" i="10"/>
  <c r="X43" i="10"/>
  <c r="W43" i="10"/>
  <c r="V43" i="10"/>
  <c r="U43" i="10"/>
  <c r="S43" i="10"/>
  <c r="CH42" i="10"/>
  <c r="CH41" i="10" s="1"/>
  <c r="AW42" i="10"/>
  <c r="AV42" i="10"/>
  <c r="BH42" i="10" s="1"/>
  <c r="AU42" i="10"/>
  <c r="AR42" i="10"/>
  <c r="AQ42" i="10"/>
  <c r="AP42" i="10"/>
  <c r="AM42" i="10"/>
  <c r="AL42" i="10"/>
  <c r="AK42" i="10"/>
  <c r="BA42" i="10" s="1"/>
  <c r="AJ42" i="10"/>
  <c r="AJ41" i="10" s="1"/>
  <c r="AI42" i="10"/>
  <c r="AF42" i="10"/>
  <c r="AE42" i="10"/>
  <c r="AD42" i="10"/>
  <c r="AC42" i="10"/>
  <c r="AB42" i="10"/>
  <c r="Y42" i="10"/>
  <c r="X42" i="10"/>
  <c r="W42" i="10"/>
  <c r="U42" i="10"/>
  <c r="V42" i="10" s="1"/>
  <c r="R42" i="10"/>
  <c r="CA41" i="10"/>
  <c r="BZ41" i="10"/>
  <c r="AR41" i="10"/>
  <c r="AQ41" i="10"/>
  <c r="AP41" i="10"/>
  <c r="O41" i="10"/>
  <c r="N41" i="10"/>
  <c r="CJ41" i="10" s="1"/>
  <c r="L41" i="10"/>
  <c r="K41" i="10"/>
  <c r="J41" i="10"/>
  <c r="I41" i="10"/>
  <c r="G41" i="10"/>
  <c r="F41" i="10"/>
  <c r="CH39" i="10"/>
  <c r="AW39" i="10"/>
  <c r="AU39" i="10"/>
  <c r="AV39" i="10" s="1"/>
  <c r="BH39" i="10" s="1"/>
  <c r="BH37" i="10" s="1"/>
  <c r="AR39" i="10"/>
  <c r="AQ39" i="10"/>
  <c r="AP39" i="10"/>
  <c r="AM39" i="10"/>
  <c r="AL39" i="10"/>
  <c r="AK39" i="10"/>
  <c r="AI39" i="10"/>
  <c r="AJ39" i="10" s="1"/>
  <c r="AF39" i="10"/>
  <c r="AE39" i="10"/>
  <c r="AD39" i="10"/>
  <c r="AB39" i="10"/>
  <c r="AC39" i="10" s="1"/>
  <c r="BC39" i="10" s="1"/>
  <c r="Y39" i="10"/>
  <c r="X39" i="10"/>
  <c r="BB39" i="10" s="1"/>
  <c r="W39" i="10"/>
  <c r="V39" i="10"/>
  <c r="U39" i="10"/>
  <c r="CH38" i="10"/>
  <c r="CH37" i="10" s="1"/>
  <c r="BH38" i="10"/>
  <c r="AW38" i="10"/>
  <c r="AV38" i="10"/>
  <c r="AU38" i="10"/>
  <c r="AR38" i="10"/>
  <c r="AQ38" i="10"/>
  <c r="AP38" i="10"/>
  <c r="AM38" i="10"/>
  <c r="AL38" i="10"/>
  <c r="AK38" i="10"/>
  <c r="AJ38" i="10"/>
  <c r="AI38" i="10"/>
  <c r="AF38" i="10"/>
  <c r="AE38" i="10"/>
  <c r="BC38" i="10" s="1"/>
  <c r="AD38" i="10"/>
  <c r="AZ38" i="10" s="1"/>
  <c r="AC38" i="10"/>
  <c r="AB38" i="10"/>
  <c r="Y38" i="10"/>
  <c r="BE38" i="10" s="1"/>
  <c r="X38" i="10"/>
  <c r="W38" i="10"/>
  <c r="V38" i="10"/>
  <c r="U38" i="10"/>
  <c r="S38" i="10"/>
  <c r="CA37" i="10"/>
  <c r="BZ37" i="10"/>
  <c r="AR37" i="10"/>
  <c r="AQ37" i="10"/>
  <c r="AP37" i="10"/>
  <c r="AJ37" i="10"/>
  <c r="S37" i="10"/>
  <c r="O37" i="10"/>
  <c r="N37" i="10"/>
  <c r="L37" i="10"/>
  <c r="K37" i="10"/>
  <c r="J37" i="10"/>
  <c r="I37" i="10"/>
  <c r="G37" i="10"/>
  <c r="F37" i="10"/>
  <c r="CH35" i="10"/>
  <c r="BH35" i="10"/>
  <c r="AW35" i="10"/>
  <c r="AV35" i="10"/>
  <c r="AU35" i="10"/>
  <c r="AR35" i="10"/>
  <c r="AQ35" i="10"/>
  <c r="AP35" i="10"/>
  <c r="AM35" i="10"/>
  <c r="BG35" i="10" s="1"/>
  <c r="AL35" i="10"/>
  <c r="AK35" i="10"/>
  <c r="AJ35" i="10"/>
  <c r="BD35" i="10" s="1"/>
  <c r="AI35" i="10"/>
  <c r="AF35" i="10"/>
  <c r="AE35" i="10"/>
  <c r="AD35" i="10"/>
  <c r="AC35" i="10"/>
  <c r="AB35" i="10"/>
  <c r="Y35" i="10"/>
  <c r="X35" i="10"/>
  <c r="W35" i="10"/>
  <c r="V35" i="10"/>
  <c r="R35" i="10" s="1"/>
  <c r="U35" i="10"/>
  <c r="CH34" i="10"/>
  <c r="AW34" i="10"/>
  <c r="AU34" i="10"/>
  <c r="AV34" i="10" s="1"/>
  <c r="AV29" i="10" s="1"/>
  <c r="AR34" i="10"/>
  <c r="AQ34" i="10"/>
  <c r="AP34" i="10"/>
  <c r="AM34" i="10"/>
  <c r="AL34" i="10"/>
  <c r="AK34" i="10"/>
  <c r="AI34" i="10"/>
  <c r="AJ34" i="10" s="1"/>
  <c r="BG34" i="10" s="1"/>
  <c r="AF34" i="10"/>
  <c r="AE34" i="10"/>
  <c r="AD34" i="10"/>
  <c r="AB34" i="10"/>
  <c r="AC34" i="10" s="1"/>
  <c r="BF34" i="10" s="1"/>
  <c r="Y34" i="10"/>
  <c r="X34" i="10"/>
  <c r="W34" i="10"/>
  <c r="U34" i="10"/>
  <c r="V34" i="10" s="1"/>
  <c r="CH33" i="10"/>
  <c r="BF33" i="10"/>
  <c r="AW33" i="10"/>
  <c r="AV33" i="10"/>
  <c r="BH33" i="10" s="1"/>
  <c r="AU33" i="10"/>
  <c r="AR33" i="10"/>
  <c r="AQ33" i="10"/>
  <c r="AP33" i="10"/>
  <c r="AM33" i="10"/>
  <c r="AL33" i="10"/>
  <c r="AI33" i="10"/>
  <c r="AJ33" i="10" s="1"/>
  <c r="AB33" i="10"/>
  <c r="AC33" i="10" s="1"/>
  <c r="Y33" i="10"/>
  <c r="BE33" i="10" s="1"/>
  <c r="X33" i="10"/>
  <c r="U33" i="10"/>
  <c r="V33" i="10" s="1"/>
  <c r="R33" i="10"/>
  <c r="BU33" i="10" s="1"/>
  <c r="BX33" i="10" s="1"/>
  <c r="CH32" i="10"/>
  <c r="BH32" i="10"/>
  <c r="BC32" i="10"/>
  <c r="AZ32" i="10"/>
  <c r="AW32" i="10"/>
  <c r="AV32" i="10"/>
  <c r="AU32" i="10"/>
  <c r="AR32" i="10"/>
  <c r="AQ32" i="10"/>
  <c r="AP32" i="10"/>
  <c r="AM32" i="10"/>
  <c r="BG32" i="10" s="1"/>
  <c r="AL32" i="10"/>
  <c r="AI32" i="10"/>
  <c r="AJ32" i="10" s="1"/>
  <c r="AB32" i="10"/>
  <c r="AC32" i="10" s="1"/>
  <c r="Y32" i="10"/>
  <c r="X32" i="10"/>
  <c r="V32" i="10"/>
  <c r="U32" i="10"/>
  <c r="CH31" i="10"/>
  <c r="CH29" i="10" s="1"/>
  <c r="AW31" i="10"/>
  <c r="AV31" i="10"/>
  <c r="BH31" i="10" s="1"/>
  <c r="AU31" i="10"/>
  <c r="AR31" i="10"/>
  <c r="AQ31" i="10"/>
  <c r="AP31" i="10"/>
  <c r="AM31" i="10"/>
  <c r="AL31" i="10"/>
  <c r="AI31" i="10"/>
  <c r="AJ31" i="10" s="1"/>
  <c r="AB31" i="10"/>
  <c r="AC31" i="10" s="1"/>
  <c r="Y31" i="10"/>
  <c r="BE31" i="10" s="1"/>
  <c r="X31" i="10"/>
  <c r="BB31" i="10" s="1"/>
  <c r="U31" i="10"/>
  <c r="V31" i="10" s="1"/>
  <c r="AY31" i="10" s="1"/>
  <c r="R31" i="10"/>
  <c r="CH30" i="10"/>
  <c r="BC30" i="10"/>
  <c r="AW30" i="10"/>
  <c r="AU30" i="10"/>
  <c r="AV30" i="10" s="1"/>
  <c r="BH30" i="10" s="1"/>
  <c r="AR30" i="10"/>
  <c r="AQ30" i="10"/>
  <c r="AP30" i="10"/>
  <c r="AM30" i="10"/>
  <c r="AL30" i="10"/>
  <c r="BD30" i="10" s="1"/>
  <c r="AI30" i="10"/>
  <c r="AJ30" i="10" s="1"/>
  <c r="AE30" i="10"/>
  <c r="AC30" i="10"/>
  <c r="AB30" i="10"/>
  <c r="Y30" i="10"/>
  <c r="X30" i="10"/>
  <c r="V30" i="10"/>
  <c r="V29" i="10" s="1"/>
  <c r="U30" i="10"/>
  <c r="CA29" i="10"/>
  <c r="BZ29" i="10"/>
  <c r="AR29" i="10"/>
  <c r="AQ29" i="10"/>
  <c r="AP29" i="10"/>
  <c r="AC29" i="10"/>
  <c r="O29" i="10"/>
  <c r="N29" i="10"/>
  <c r="L29" i="10"/>
  <c r="K29" i="10"/>
  <c r="J29" i="10"/>
  <c r="I29" i="10"/>
  <c r="G29" i="10"/>
  <c r="F29" i="10"/>
  <c r="CH27" i="10"/>
  <c r="AW27" i="10"/>
  <c r="AV27" i="10"/>
  <c r="BH27" i="10" s="1"/>
  <c r="AU27" i="10"/>
  <c r="AM27" i="10"/>
  <c r="AL27" i="10"/>
  <c r="AK27" i="10"/>
  <c r="AI27" i="10"/>
  <c r="AJ27" i="10" s="1"/>
  <c r="AF27" i="10"/>
  <c r="AE27" i="10"/>
  <c r="AD27" i="10"/>
  <c r="AB27" i="10"/>
  <c r="AC27" i="10" s="1"/>
  <c r="Y27" i="10"/>
  <c r="X27" i="10"/>
  <c r="W27" i="10"/>
  <c r="S27" i="10" s="1"/>
  <c r="U27" i="10"/>
  <c r="V27" i="10" s="1"/>
  <c r="R27" i="10" s="1"/>
  <c r="BU27" i="10" s="1"/>
  <c r="BX27" i="10" s="1"/>
  <c r="CH26" i="10"/>
  <c r="AW26" i="10"/>
  <c r="AV26" i="10"/>
  <c r="AU26" i="10"/>
  <c r="AM26" i="10"/>
  <c r="AL26" i="10"/>
  <c r="AK26" i="10"/>
  <c r="AI26" i="10"/>
  <c r="AJ26" i="10" s="1"/>
  <c r="AF26" i="10"/>
  <c r="AE26" i="10"/>
  <c r="BC26" i="10" s="1"/>
  <c r="AD26" i="10"/>
  <c r="AC26" i="10"/>
  <c r="AB26" i="10"/>
  <c r="Y26" i="10"/>
  <c r="X26" i="10"/>
  <c r="W26" i="10"/>
  <c r="S26" i="10" s="1"/>
  <c r="U26" i="10"/>
  <c r="V26" i="10" s="1"/>
  <c r="CH25" i="10"/>
  <c r="AW25" i="10"/>
  <c r="AV25" i="10"/>
  <c r="BH25" i="10" s="1"/>
  <c r="AU25" i="10"/>
  <c r="AR25" i="10"/>
  <c r="AQ25" i="10"/>
  <c r="AP25" i="10"/>
  <c r="AM25" i="10"/>
  <c r="AL25" i="10"/>
  <c r="AI25" i="10"/>
  <c r="AJ25" i="10" s="1"/>
  <c r="AF25" i="10"/>
  <c r="AE25" i="10"/>
  <c r="AB25" i="10"/>
  <c r="AC25" i="10" s="1"/>
  <c r="Y25" i="10"/>
  <c r="X25" i="10"/>
  <c r="U25" i="10"/>
  <c r="V25" i="10" s="1"/>
  <c r="R25" i="10" s="1"/>
  <c r="BU25" i="10" s="1"/>
  <c r="BX25" i="10" s="1"/>
  <c r="CH24" i="10"/>
  <c r="AW24" i="10"/>
  <c r="AV24" i="10"/>
  <c r="AU24" i="10"/>
  <c r="AR24" i="10"/>
  <c r="AQ24" i="10"/>
  <c r="AP24" i="10"/>
  <c r="AM24" i="10"/>
  <c r="AL24" i="10"/>
  <c r="BD24" i="10" s="1"/>
  <c r="AK24" i="10"/>
  <c r="BA24" i="10" s="1"/>
  <c r="AJ24" i="10"/>
  <c r="AI24" i="10"/>
  <c r="AF24" i="10"/>
  <c r="BF24" i="10" s="1"/>
  <c r="AE24" i="10"/>
  <c r="AD24" i="10"/>
  <c r="AB24" i="10"/>
  <c r="AC24" i="10" s="1"/>
  <c r="Y24" i="10"/>
  <c r="X24" i="10"/>
  <c r="W24" i="10"/>
  <c r="V24" i="10"/>
  <c r="U24" i="10"/>
  <c r="CH23" i="10"/>
  <c r="AW23" i="10"/>
  <c r="AV23" i="10"/>
  <c r="BH23" i="10" s="1"/>
  <c r="AU23" i="10"/>
  <c r="AR23" i="10"/>
  <c r="AQ23" i="10"/>
  <c r="AP23" i="10"/>
  <c r="AM23" i="10"/>
  <c r="AL23" i="10"/>
  <c r="BD23" i="10" s="1"/>
  <c r="AK23" i="10"/>
  <c r="AJ23" i="10"/>
  <c r="AI23" i="10"/>
  <c r="AF23" i="10"/>
  <c r="AE23" i="10"/>
  <c r="BC23" i="10" s="1"/>
  <c r="AD23" i="10"/>
  <c r="AC23" i="10"/>
  <c r="AZ23" i="10" s="1"/>
  <c r="AB23" i="10"/>
  <c r="Y23" i="10"/>
  <c r="X23" i="10"/>
  <c r="W23" i="10"/>
  <c r="V23" i="10"/>
  <c r="AY23" i="10" s="1"/>
  <c r="U23" i="10"/>
  <c r="CH22" i="10"/>
  <c r="BA22" i="10"/>
  <c r="AW22" i="10"/>
  <c r="AU22" i="10"/>
  <c r="AV22" i="10" s="1"/>
  <c r="BH22" i="10" s="1"/>
  <c r="AR22" i="10"/>
  <c r="AQ22" i="10"/>
  <c r="AP22" i="10"/>
  <c r="AM22" i="10"/>
  <c r="AL22" i="10"/>
  <c r="BD22" i="10" s="1"/>
  <c r="AI22" i="10"/>
  <c r="AJ22" i="10" s="1"/>
  <c r="AF22" i="10"/>
  <c r="AE22" i="10"/>
  <c r="AB22" i="10"/>
  <c r="AC22" i="10" s="1"/>
  <c r="Y22" i="10"/>
  <c r="X22" i="10"/>
  <c r="BB22" i="10" s="1"/>
  <c r="U22" i="10"/>
  <c r="V22" i="10" s="1"/>
  <c r="CH21" i="10"/>
  <c r="AW21" i="10"/>
  <c r="AV21" i="10"/>
  <c r="BH21" i="10" s="1"/>
  <c r="AU21" i="10"/>
  <c r="AR21" i="10"/>
  <c r="AQ21" i="10"/>
  <c r="AP21" i="10"/>
  <c r="AM21" i="10"/>
  <c r="AL21" i="10"/>
  <c r="AK21" i="10"/>
  <c r="AJ21" i="10"/>
  <c r="AI21" i="10"/>
  <c r="AF21" i="10"/>
  <c r="AE21" i="10"/>
  <c r="BC21" i="10" s="1"/>
  <c r="AD21" i="10"/>
  <c r="AC21" i="10"/>
  <c r="S21" i="10" s="1"/>
  <c r="AB21" i="10"/>
  <c r="Y21" i="10"/>
  <c r="X21" i="10"/>
  <c r="W21" i="10"/>
  <c r="V21" i="10"/>
  <c r="U21" i="10"/>
  <c r="R21" i="10"/>
  <c r="BU21" i="10" s="1"/>
  <c r="BX21" i="10" s="1"/>
  <c r="CH20" i="10"/>
  <c r="CH18" i="10" s="1"/>
  <c r="CH12" i="10" s="1"/>
  <c r="AW20" i="10"/>
  <c r="AV20" i="10"/>
  <c r="BH20" i="10" s="1"/>
  <c r="AU20" i="10"/>
  <c r="AR20" i="10"/>
  <c r="AQ20" i="10"/>
  <c r="AP20" i="10"/>
  <c r="AM20" i="10"/>
  <c r="AL20" i="10"/>
  <c r="AK20" i="10"/>
  <c r="AJ20" i="10"/>
  <c r="AI20" i="10"/>
  <c r="AF20" i="10"/>
  <c r="AE20" i="10"/>
  <c r="BC20" i="10" s="1"/>
  <c r="AD20" i="10"/>
  <c r="AC20" i="10"/>
  <c r="AZ20" i="10" s="1"/>
  <c r="AB20" i="10"/>
  <c r="Y20" i="10"/>
  <c r="X20" i="10"/>
  <c r="W20" i="10"/>
  <c r="V20" i="10"/>
  <c r="U20" i="10"/>
  <c r="CH19" i="10"/>
  <c r="AW19" i="10"/>
  <c r="AU19" i="10"/>
  <c r="AV19" i="10" s="1"/>
  <c r="AR19" i="10"/>
  <c r="AQ19" i="10"/>
  <c r="AP19" i="10"/>
  <c r="AM19" i="10"/>
  <c r="AL19" i="10"/>
  <c r="AK19" i="10"/>
  <c r="AI19" i="10"/>
  <c r="AJ19" i="10" s="1"/>
  <c r="AF19" i="10"/>
  <c r="AE19" i="10"/>
  <c r="AD19" i="10"/>
  <c r="AC19" i="10"/>
  <c r="AZ19" i="10" s="1"/>
  <c r="AB19" i="10"/>
  <c r="Y19" i="10"/>
  <c r="X19" i="10"/>
  <c r="W19" i="10"/>
  <c r="U19" i="10"/>
  <c r="V19" i="10" s="1"/>
  <c r="CA18" i="10"/>
  <c r="BZ18" i="10"/>
  <c r="AR18" i="10"/>
  <c r="AQ18" i="10"/>
  <c r="AP18" i="10"/>
  <c r="O18" i="10"/>
  <c r="N18" i="10"/>
  <c r="CJ18" i="10" s="1"/>
  <c r="L18" i="10"/>
  <c r="K18" i="10"/>
  <c r="K12" i="10" s="1"/>
  <c r="C12" i="7" s="1"/>
  <c r="J18" i="10"/>
  <c r="I18" i="10"/>
  <c r="G18" i="10"/>
  <c r="F18" i="10"/>
  <c r="CH13" i="10"/>
  <c r="CF13" i="10"/>
  <c r="CD13" i="10"/>
  <c r="CC13" i="10"/>
  <c r="CA13" i="10"/>
  <c r="BZ13" i="10"/>
  <c r="BX13" i="10"/>
  <c r="BW13" i="10"/>
  <c r="BV13" i="10"/>
  <c r="BU13" i="10"/>
  <c r="BS13" i="10"/>
  <c r="BR13" i="10"/>
  <c r="BO13" i="10"/>
  <c r="BN13" i="10"/>
  <c r="BM13" i="10"/>
  <c r="BH13" i="10"/>
  <c r="BG13" i="10"/>
  <c r="BF13" i="10"/>
  <c r="BE13" i="10"/>
  <c r="BD13" i="10"/>
  <c r="BC13" i="10"/>
  <c r="BB13" i="10"/>
  <c r="BA13" i="10"/>
  <c r="AZ13" i="10"/>
  <c r="AY13" i="10"/>
  <c r="AV13" i="10"/>
  <c r="AJ13" i="10"/>
  <c r="AC13" i="10"/>
  <c r="V13" i="10"/>
  <c r="S13" i="10"/>
  <c r="R13" i="10"/>
  <c r="Q13" i="10"/>
  <c r="O13" i="10"/>
  <c r="N13" i="10"/>
  <c r="L13" i="10"/>
  <c r="K13" i="10"/>
  <c r="J13" i="10"/>
  <c r="I13" i="10"/>
  <c r="G13" i="10"/>
  <c r="F13" i="10"/>
  <c r="F12" i="10" s="1"/>
  <c r="AO12" i="10"/>
  <c r="O12" i="10"/>
  <c r="G7" i="10" s="1"/>
  <c r="BZ6" i="10"/>
  <c r="BS6" i="10"/>
  <c r="BB63" i="10" l="1"/>
  <c r="BG54" i="10"/>
  <c r="BG24" i="10"/>
  <c r="BG22" i="10"/>
  <c r="BF79" i="10"/>
  <c r="BE45" i="10"/>
  <c r="BE46" i="10"/>
  <c r="I12" i="10"/>
  <c r="C10" i="7" s="1"/>
  <c r="N12" i="10"/>
  <c r="E5" i="7" s="1"/>
  <c r="CJ12" i="10"/>
  <c r="BB34" i="10"/>
  <c r="BF69" i="10"/>
  <c r="BG69" i="10"/>
  <c r="BB72" i="10"/>
  <c r="BD76" i="10"/>
  <c r="BF26" i="10"/>
  <c r="BG26" i="10"/>
  <c r="BG43" i="10"/>
  <c r="BG46" i="10"/>
  <c r="BG61" i="10"/>
  <c r="BG65" i="10"/>
  <c r="BG21" i="10"/>
  <c r="BG25" i="10"/>
  <c r="BG30" i="10"/>
  <c r="BE22" i="10"/>
  <c r="BE59" i="10"/>
  <c r="BF67" i="10"/>
  <c r="BC52" i="10"/>
  <c r="J12" i="10"/>
  <c r="C11" i="7" s="1"/>
  <c r="BE81" i="10"/>
  <c r="BE24" i="10"/>
  <c r="BE62" i="10"/>
  <c r="L12" i="10"/>
  <c r="C13" i="7" s="1"/>
  <c r="BB20" i="10"/>
  <c r="BB21" i="10"/>
  <c r="BB52" i="10"/>
  <c r="BE77" i="10"/>
  <c r="C5" i="7"/>
  <c r="BZ12" i="10"/>
  <c r="G12" i="10"/>
  <c r="CA12" i="10"/>
  <c r="K3" i="10"/>
  <c r="N3" i="10"/>
  <c r="BA20" i="10"/>
  <c r="BA44" i="10"/>
  <c r="BA77" i="10"/>
  <c r="BM77" i="10" s="1"/>
  <c r="AZ27" i="10"/>
  <c r="AZ58" i="10"/>
  <c r="AZ78" i="10"/>
  <c r="AZ45" i="10"/>
  <c r="BD27" i="10"/>
  <c r="BG27" i="10"/>
  <c r="BA27" i="10"/>
  <c r="BF25" i="10"/>
  <c r="S25" i="10"/>
  <c r="BC25" i="10"/>
  <c r="AZ25" i="10"/>
  <c r="BD33" i="10"/>
  <c r="BG33" i="10"/>
  <c r="BO33" i="10" s="1"/>
  <c r="BA33" i="10"/>
  <c r="S33" i="10"/>
  <c r="BA19" i="10"/>
  <c r="S19" i="10"/>
  <c r="AJ18" i="10"/>
  <c r="BG19" i="10"/>
  <c r="BD19" i="10"/>
  <c r="BU35" i="10"/>
  <c r="BX35" i="10" s="1"/>
  <c r="BV35" i="10"/>
  <c r="BW35" i="10" s="1"/>
  <c r="Q35" i="10"/>
  <c r="AZ22" i="10"/>
  <c r="BF22" i="10"/>
  <c r="S22" i="10"/>
  <c r="BC22" i="10"/>
  <c r="BN22" i="10" s="1"/>
  <c r="R19" i="10"/>
  <c r="AY19" i="10"/>
  <c r="V18" i="10"/>
  <c r="V12" i="10" s="1"/>
  <c r="BB19" i="10"/>
  <c r="BE19" i="10"/>
  <c r="BH19" i="10"/>
  <c r="AV18" i="10"/>
  <c r="BB26" i="10"/>
  <c r="AY26" i="10"/>
  <c r="R26" i="10"/>
  <c r="BE26" i="10"/>
  <c r="BE32" i="10"/>
  <c r="R32" i="10"/>
  <c r="BB32" i="10"/>
  <c r="BC19" i="10"/>
  <c r="BD20" i="10"/>
  <c r="BE21" i="10"/>
  <c r="AZ24" i="10"/>
  <c r="BC24" i="10"/>
  <c r="BA25" i="10"/>
  <c r="BV25" i="10"/>
  <c r="BW25" i="10" s="1"/>
  <c r="BA26" i="10"/>
  <c r="BB33" i="10"/>
  <c r="AY33" i="10"/>
  <c r="AY34" i="10"/>
  <c r="AY35" i="10"/>
  <c r="AV37" i="10"/>
  <c r="R39" i="10"/>
  <c r="AY39" i="10"/>
  <c r="BE39" i="10"/>
  <c r="BA39" i="10"/>
  <c r="BD39" i="10"/>
  <c r="BN39" i="10" s="1"/>
  <c r="BF42" i="10"/>
  <c r="AC41" i="10"/>
  <c r="BC42" i="10"/>
  <c r="S42" i="10"/>
  <c r="AZ42" i="10"/>
  <c r="BA45" i="10"/>
  <c r="BG45" i="10"/>
  <c r="BC47" i="10"/>
  <c r="S47" i="10"/>
  <c r="AZ47" i="10"/>
  <c r="BF47" i="10"/>
  <c r="BF48" i="10"/>
  <c r="S48" i="10"/>
  <c r="BC48" i="10"/>
  <c r="AZ48" i="10"/>
  <c r="BV21" i="10"/>
  <c r="BW21" i="10" s="1"/>
  <c r="BE23" i="10"/>
  <c r="AY27" i="10"/>
  <c r="R43" i="10"/>
  <c r="AY43" i="10"/>
  <c r="BM43" i="10" s="1"/>
  <c r="BE43" i="10"/>
  <c r="BB43" i="10"/>
  <c r="BE20" i="10"/>
  <c r="BF21" i="10"/>
  <c r="BA23" i="10"/>
  <c r="BG23" i="10"/>
  <c r="BB25" i="10"/>
  <c r="BV27" i="10"/>
  <c r="BW27" i="10" s="1"/>
  <c r="BF35" i="10"/>
  <c r="S35" i="10"/>
  <c r="AZ35" i="10"/>
  <c r="BE37" i="10"/>
  <c r="BE34" i="10"/>
  <c r="R34" i="10"/>
  <c r="BF20" i="10"/>
  <c r="S24" i="10"/>
  <c r="BE25" i="10"/>
  <c r="BD26" i="10"/>
  <c r="BB27" i="10"/>
  <c r="BF32" i="10"/>
  <c r="S32" i="10"/>
  <c r="BC35" i="10"/>
  <c r="BV42" i="10"/>
  <c r="Q42" i="10"/>
  <c r="BU42" i="10"/>
  <c r="BH75" i="10"/>
  <c r="AV74" i="10"/>
  <c r="BF19" i="10"/>
  <c r="AY20" i="10"/>
  <c r="BG20" i="10"/>
  <c r="BD21" i="10"/>
  <c r="BA21" i="10"/>
  <c r="BF27" i="10"/>
  <c r="BC27" i="10"/>
  <c r="BE27" i="10"/>
  <c r="AZ30" i="10"/>
  <c r="BF30" i="10"/>
  <c r="S30" i="10"/>
  <c r="AZ31" i="10"/>
  <c r="BF31" i="10"/>
  <c r="S31" i="10"/>
  <c r="BC31" i="10"/>
  <c r="BD32" i="10"/>
  <c r="BA32" i="10"/>
  <c r="BC33" i="10"/>
  <c r="AZ33" i="10"/>
  <c r="BC34" i="10"/>
  <c r="S34" i="10"/>
  <c r="AZ34" i="10"/>
  <c r="BC37" i="10"/>
  <c r="BG39" i="10"/>
  <c r="AY42" i="10"/>
  <c r="V41" i="10"/>
  <c r="BE42" i="10"/>
  <c r="BB42" i="10"/>
  <c r="BV47" i="10"/>
  <c r="BW47" i="10" s="1"/>
  <c r="Q47" i="10"/>
  <c r="BU47" i="10"/>
  <c r="BX47" i="10" s="1"/>
  <c r="BH48" i="10"/>
  <c r="AY58" i="10"/>
  <c r="R58" i="10"/>
  <c r="V56" i="10"/>
  <c r="BB58" i="10"/>
  <c r="BE58" i="10"/>
  <c r="BC63" i="10"/>
  <c r="AZ63" i="10"/>
  <c r="BM63" i="10" s="1"/>
  <c r="BF63" i="10"/>
  <c r="S63" i="10"/>
  <c r="BB30" i="10"/>
  <c r="BE30" i="10"/>
  <c r="R20" i="10"/>
  <c r="R22" i="10"/>
  <c r="S23" i="10"/>
  <c r="BF23" i="10"/>
  <c r="BB23" i="10"/>
  <c r="BB24" i="10"/>
  <c r="R24" i="10"/>
  <c r="AY24" i="10"/>
  <c r="BG31" i="10"/>
  <c r="BD31" i="10"/>
  <c r="AY32" i="10"/>
  <c r="BE35" i="10"/>
  <c r="BB35" i="10"/>
  <c r="AY38" i="10"/>
  <c r="BB38" i="10"/>
  <c r="R38" i="10"/>
  <c r="V37" i="10"/>
  <c r="AZ39" i="10"/>
  <c r="AZ37" i="10" s="1"/>
  <c r="BF39" i="10"/>
  <c r="AC37" i="10"/>
  <c r="AV41" i="10"/>
  <c r="BV48" i="10"/>
  <c r="BW48" i="10" s="1"/>
  <c r="Q48" i="10"/>
  <c r="BU48" i="10"/>
  <c r="BX48" i="10" s="1"/>
  <c r="BD48" i="10"/>
  <c r="BG48" i="10"/>
  <c r="BA48" i="10"/>
  <c r="S62" i="10"/>
  <c r="BF62" i="10"/>
  <c r="BC62" i="10"/>
  <c r="AZ62" i="10"/>
  <c r="AC18" i="10"/>
  <c r="S20" i="10"/>
  <c r="AY21" i="10"/>
  <c r="AY22" i="10"/>
  <c r="BM22" i="10" s="1"/>
  <c r="R23" i="10"/>
  <c r="BH24" i="10"/>
  <c r="Q25" i="10"/>
  <c r="BD25" i="10"/>
  <c r="AZ26" i="10"/>
  <c r="R30" i="10"/>
  <c r="BA30" i="10"/>
  <c r="BA29" i="10" s="1"/>
  <c r="AJ29" i="10"/>
  <c r="AJ12" i="10" s="1"/>
  <c r="AY30" i="10"/>
  <c r="BA31" i="10"/>
  <c r="BG42" i="10"/>
  <c r="BD42" i="10"/>
  <c r="BV45" i="10"/>
  <c r="BW45" i="10" s="1"/>
  <c r="Q45" i="10"/>
  <c r="BU45" i="10"/>
  <c r="BX45" i="10" s="1"/>
  <c r="BM23" i="10"/>
  <c r="BV31" i="10"/>
  <c r="BW31" i="10" s="1"/>
  <c r="BU31" i="10"/>
  <c r="BX31" i="10" s="1"/>
  <c r="Q31" i="10"/>
  <c r="BD34" i="10"/>
  <c r="BA34" i="10"/>
  <c r="R44" i="10"/>
  <c r="BE44" i="10"/>
  <c r="BB44" i="10"/>
  <c r="AY44" i="10"/>
  <c r="Q21" i="10"/>
  <c r="AZ21" i="10"/>
  <c r="AY25" i="10"/>
  <c r="BH26" i="10"/>
  <c r="Q27" i="10"/>
  <c r="Q33" i="10"/>
  <c r="BV33" i="10"/>
  <c r="BW33" i="10" s="1"/>
  <c r="BH34" i="10"/>
  <c r="BH29" i="10" s="1"/>
  <c r="BA35" i="10"/>
  <c r="BG38" i="10"/>
  <c r="BD38" i="10"/>
  <c r="AY46" i="10"/>
  <c r="AY48" i="10"/>
  <c r="AY53" i="10"/>
  <c r="R53" i="10"/>
  <c r="BB53" i="10"/>
  <c r="AZ54" i="10"/>
  <c r="BF54" i="10"/>
  <c r="BO54" i="10" s="1"/>
  <c r="BC54" i="10"/>
  <c r="BG59" i="10"/>
  <c r="BO59" i="10" s="1"/>
  <c r="BD59" i="10"/>
  <c r="S59" i="10"/>
  <c r="BA59" i="10"/>
  <c r="R60" i="10"/>
  <c r="BE60" i="10"/>
  <c r="BB60" i="10"/>
  <c r="AY60" i="10"/>
  <c r="BA60" i="10"/>
  <c r="BD60" i="10"/>
  <c r="AZ65" i="10"/>
  <c r="S65" i="10"/>
  <c r="BF65" i="10"/>
  <c r="BC65" i="10"/>
  <c r="AJ74" i="10"/>
  <c r="BD75" i="10"/>
  <c r="BA75" i="10"/>
  <c r="BG75" i="10"/>
  <c r="BF76" i="10"/>
  <c r="BC76" i="10"/>
  <c r="S76" i="10"/>
  <c r="AZ76" i="10"/>
  <c r="S44" i="10"/>
  <c r="AZ44" i="10"/>
  <c r="BF44" i="10"/>
  <c r="BB45" i="10"/>
  <c r="AY45" i="10"/>
  <c r="BF45" i="10"/>
  <c r="BO45" i="10" s="1"/>
  <c r="BC46" i="10"/>
  <c r="AZ46" i="10"/>
  <c r="BA46" i="10"/>
  <c r="BE49" i="10"/>
  <c r="AY49" i="10"/>
  <c r="BA53" i="10"/>
  <c r="BA51" i="10" s="1"/>
  <c r="BG53" i="10"/>
  <c r="BG51" i="10" s="1"/>
  <c r="BD53" i="10"/>
  <c r="AJ51" i="10"/>
  <c r="BD47" i="10"/>
  <c r="BA47" i="10"/>
  <c r="BD49" i="10"/>
  <c r="BG49" i="10"/>
  <c r="BA49" i="10"/>
  <c r="AZ52" i="10"/>
  <c r="AC51" i="10"/>
  <c r="BF52" i="10"/>
  <c r="BA78" i="10"/>
  <c r="BG78" i="10"/>
  <c r="BO78" i="10" s="1"/>
  <c r="BD78" i="10"/>
  <c r="BF38" i="10"/>
  <c r="BA38" i="10"/>
  <c r="BD44" i="10"/>
  <c r="BB49" i="10"/>
  <c r="S46" i="10"/>
  <c r="AZ61" i="10"/>
  <c r="BF61" i="10"/>
  <c r="BC61" i="10"/>
  <c r="S61" i="10"/>
  <c r="BA62" i="10"/>
  <c r="BG62" i="10"/>
  <c r="BD62" i="10"/>
  <c r="BG63" i="10"/>
  <c r="BD63" i="10"/>
  <c r="BN63" i="10" s="1"/>
  <c r="BV65" i="10"/>
  <c r="BW65" i="10" s="1"/>
  <c r="BU65" i="10"/>
  <c r="BX65" i="10" s="1"/>
  <c r="BV69" i="10"/>
  <c r="BW69" i="10" s="1"/>
  <c r="BU69" i="10"/>
  <c r="BX69" i="10" s="1"/>
  <c r="BS77" i="10"/>
  <c r="BG44" i="10"/>
  <c r="BB46" i="10"/>
  <c r="R46" i="10"/>
  <c r="S52" i="10"/>
  <c r="S51" i="10" s="1"/>
  <c r="BA58" i="10"/>
  <c r="BG58" i="10"/>
  <c r="BD68" i="10"/>
  <c r="BA68" i="10"/>
  <c r="BG68" i="10"/>
  <c r="S45" i="10"/>
  <c r="BC45" i="10"/>
  <c r="BH46" i="10"/>
  <c r="BE48" i="10"/>
  <c r="BB48" i="10"/>
  <c r="R52" i="10"/>
  <c r="BE52" i="10"/>
  <c r="AY52" i="10"/>
  <c r="V51" i="10"/>
  <c r="BU61" i="10"/>
  <c r="BX61" i="10" s="1"/>
  <c r="Q61" i="10"/>
  <c r="R68" i="10"/>
  <c r="BE68" i="10"/>
  <c r="AY68" i="10"/>
  <c r="BM68" i="10" s="1"/>
  <c r="BD54" i="10"/>
  <c r="AZ57" i="10"/>
  <c r="AC56" i="10"/>
  <c r="BF57" i="10"/>
  <c r="BC57" i="10"/>
  <c r="BS57" i="10" s="1"/>
  <c r="BA61" i="10"/>
  <c r="BE66" i="10"/>
  <c r="S67" i="10"/>
  <c r="BH67" i="10"/>
  <c r="AY70" i="10"/>
  <c r="S71" i="10"/>
  <c r="AZ71" i="10"/>
  <c r="BF71" i="10"/>
  <c r="AZ77" i="10"/>
  <c r="BF77" i="10"/>
  <c r="BC77" i="10"/>
  <c r="S77" i="10"/>
  <c r="BH79" i="10"/>
  <c r="S66" i="10"/>
  <c r="BC66" i="10"/>
  <c r="BF66" i="10"/>
  <c r="S70" i="10"/>
  <c r="AZ70" i="10"/>
  <c r="BF70" i="10"/>
  <c r="BC70" i="10"/>
  <c r="BV71" i="10"/>
  <c r="BW71" i="10" s="1"/>
  <c r="Q71" i="10"/>
  <c r="BD72" i="10"/>
  <c r="BA72" i="10"/>
  <c r="BB75" i="10"/>
  <c r="R75" i="10"/>
  <c r="Q77" i="10"/>
  <c r="BU77" i="10"/>
  <c r="BX77" i="10" s="1"/>
  <c r="BV77" i="10"/>
  <c r="BW77" i="10" s="1"/>
  <c r="BA79" i="10"/>
  <c r="BG79" i="10"/>
  <c r="BF49" i="10"/>
  <c r="BC49" i="10"/>
  <c r="BH52" i="10"/>
  <c r="BH51" i="10" s="1"/>
  <c r="AV51" i="10"/>
  <c r="S57" i="10"/>
  <c r="AY65" i="10"/>
  <c r="BM65" i="10" s="1"/>
  <c r="BE65" i="10"/>
  <c r="BB65" i="10"/>
  <c r="BA65" i="10"/>
  <c r="AY67" i="10"/>
  <c r="BE67" i="10"/>
  <c r="R67" i="10"/>
  <c r="BG67" i="10"/>
  <c r="BD67" i="10"/>
  <c r="BA67" i="10"/>
  <c r="AY69" i="10"/>
  <c r="BM69" i="10" s="1"/>
  <c r="BE69" i="10"/>
  <c r="BB69" i="10"/>
  <c r="BA69" i="10"/>
  <c r="BE70" i="10"/>
  <c r="BU71" i="10"/>
  <c r="BX71" i="10" s="1"/>
  <c r="AY75" i="10"/>
  <c r="BE76" i="10"/>
  <c r="R76" i="10"/>
  <c r="BB76" i="10"/>
  <c r="AY76" i="10"/>
  <c r="BD80" i="10"/>
  <c r="BA80" i="10"/>
  <c r="BG80" i="10"/>
  <c r="R82" i="10"/>
  <c r="AY82" i="10"/>
  <c r="BE82" i="10"/>
  <c r="BB82" i="10"/>
  <c r="BA82" i="10"/>
  <c r="BG82" i="10"/>
  <c r="BD82" i="10"/>
  <c r="S53" i="10"/>
  <c r="BF53" i="10"/>
  <c r="BB54" i="10"/>
  <c r="R54" i="10"/>
  <c r="AY54" i="10"/>
  <c r="BH57" i="10"/>
  <c r="BH56" i="10" s="1"/>
  <c r="AV56" i="10"/>
  <c r="BC60" i="10"/>
  <c r="S60" i="10"/>
  <c r="AZ60" i="10"/>
  <c r="BE61" i="10"/>
  <c r="BB61" i="10"/>
  <c r="BE64" i="10"/>
  <c r="R64" i="10"/>
  <c r="AY64" i="10"/>
  <c r="BU66" i="10"/>
  <c r="BX66" i="10" s="1"/>
  <c r="BB67" i="10"/>
  <c r="BC69" i="10"/>
  <c r="BB71" i="10"/>
  <c r="AY71" i="10"/>
  <c r="BH71" i="10"/>
  <c r="V74" i="10"/>
  <c r="BE75" i="10"/>
  <c r="BD79" i="10"/>
  <c r="R57" i="10"/>
  <c r="BE57" i="10"/>
  <c r="S58" i="10"/>
  <c r="BF58" i="10"/>
  <c r="BB59" i="10"/>
  <c r="R59" i="10"/>
  <c r="AY59" i="10"/>
  <c r="BM59" i="10" s="1"/>
  <c r="AY62" i="10"/>
  <c r="R62" i="10"/>
  <c r="BD66" i="10"/>
  <c r="BA66" i="10"/>
  <c r="BG66" i="10"/>
  <c r="BV66" i="10"/>
  <c r="BW66" i="10" s="1"/>
  <c r="BA71" i="10"/>
  <c r="BG71" i="10"/>
  <c r="AY57" i="10"/>
  <c r="BD64" i="10"/>
  <c r="BA64" i="10"/>
  <c r="AY66" i="10"/>
  <c r="BU70" i="10"/>
  <c r="BX70" i="10" s="1"/>
  <c r="Q70" i="10"/>
  <c r="BV70" i="10"/>
  <c r="BW70" i="10" s="1"/>
  <c r="BG72" i="10"/>
  <c r="BC75" i="10"/>
  <c r="S75" i="10"/>
  <c r="AC74" i="10"/>
  <c r="AZ75" i="10"/>
  <c r="BF75" i="10"/>
  <c r="BB78" i="10"/>
  <c r="AY78" i="10"/>
  <c r="R78" i="10"/>
  <c r="BC80" i="10"/>
  <c r="S80" i="10"/>
  <c r="BF80" i="10"/>
  <c r="AZ80" i="10"/>
  <c r="AZ66" i="10"/>
  <c r="AZ67" i="10"/>
  <c r="BC67" i="10"/>
  <c r="AZ69" i="10"/>
  <c r="S69" i="10"/>
  <c r="BA70" i="10"/>
  <c r="BG70" i="10"/>
  <c r="BD70" i="10"/>
  <c r="S72" i="10"/>
  <c r="BN77" i="10"/>
  <c r="Q85" i="10"/>
  <c r="Q84" i="10" s="1"/>
  <c r="R84" i="10"/>
  <c r="BV85" i="10"/>
  <c r="BU85" i="10"/>
  <c r="BH65" i="10"/>
  <c r="BC72" i="10"/>
  <c r="AZ72" i="10"/>
  <c r="S79" i="10"/>
  <c r="BC64" i="10"/>
  <c r="S64" i="10"/>
  <c r="AZ64" i="10"/>
  <c r="BA76" i="10"/>
  <c r="BG77" i="10"/>
  <c r="Q80" i="10"/>
  <c r="AZ81" i="10"/>
  <c r="BM81" i="10" s="1"/>
  <c r="BF81" i="10"/>
  <c r="BC81" i="10"/>
  <c r="S82" i="10"/>
  <c r="AZ82" i="10"/>
  <c r="BF82" i="10"/>
  <c r="BC82" i="10"/>
  <c r="S78" i="10"/>
  <c r="BC78" i="10"/>
  <c r="BB79" i="10"/>
  <c r="S68" i="10"/>
  <c r="BC68" i="10"/>
  <c r="BF72" i="10"/>
  <c r="BB80" i="10"/>
  <c r="S81" i="10"/>
  <c r="BC85" i="10"/>
  <c r="BC84" i="10" s="1"/>
  <c r="AZ85" i="10"/>
  <c r="AZ84" i="10" s="1"/>
  <c r="S85" i="10"/>
  <c r="S84" i="10" s="1"/>
  <c r="BC79" i="10"/>
  <c r="AZ79" i="10"/>
  <c r="BU80" i="10"/>
  <c r="BX80" i="10" s="1"/>
  <c r="BE85" i="10"/>
  <c r="V84" i="10"/>
  <c r="BB85" i="10"/>
  <c r="AY85" i="10"/>
  <c r="R63" i="10"/>
  <c r="R72" i="10"/>
  <c r="R79" i="10"/>
  <c r="BB81" i="10"/>
  <c r="AJ84" i="10"/>
  <c r="BG85" i="10"/>
  <c r="BG84" i="10" s="1"/>
  <c r="BA85" i="10"/>
  <c r="BA84" i="10" s="1"/>
  <c r="BU81" i="10"/>
  <c r="BX81" i="10" s="1"/>
  <c r="BF37" i="10" l="1"/>
  <c r="BG37" i="10"/>
  <c r="BN62" i="10"/>
  <c r="BO31" i="10"/>
  <c r="BS21" i="10"/>
  <c r="BO80" i="10"/>
  <c r="BO53" i="10"/>
  <c r="BS52" i="10"/>
  <c r="BS70" i="10"/>
  <c r="BS62" i="10"/>
  <c r="BN21" i="10"/>
  <c r="BD51" i="10"/>
  <c r="BD37" i="10"/>
  <c r="BO22" i="10"/>
  <c r="BG56" i="10"/>
  <c r="BS63" i="10"/>
  <c r="BD56" i="10"/>
  <c r="BS68" i="10"/>
  <c r="BN70" i="10"/>
  <c r="BS47" i="10"/>
  <c r="C14" i="7"/>
  <c r="BS64" i="10"/>
  <c r="BN66" i="10"/>
  <c r="BO46" i="10"/>
  <c r="BB51" i="10"/>
  <c r="BG29" i="10"/>
  <c r="BN34" i="10"/>
  <c r="BD29" i="10"/>
  <c r="BN20" i="10"/>
  <c r="BO62" i="10"/>
  <c r="BN52" i="10"/>
  <c r="BN64" i="10"/>
  <c r="BS20" i="10"/>
  <c r="BO63" i="10"/>
  <c r="BC51" i="10"/>
  <c r="BC29" i="10"/>
  <c r="BS34" i="10"/>
  <c r="BO72" i="10"/>
  <c r="BF18" i="10"/>
  <c r="BO24" i="10"/>
  <c r="BB56" i="10"/>
  <c r="N7" i="10"/>
  <c r="N5" i="10"/>
  <c r="N4" i="10"/>
  <c r="K6" i="10"/>
  <c r="K5" i="10"/>
  <c r="K4" i="10"/>
  <c r="BM72" i="10"/>
  <c r="BM80" i="10"/>
  <c r="BM20" i="10"/>
  <c r="BM61" i="10"/>
  <c r="BA41" i="10"/>
  <c r="BA37" i="10"/>
  <c r="BM78" i="10"/>
  <c r="BR78" i="10" s="1"/>
  <c r="BM62" i="10"/>
  <c r="BR62" i="10" s="1"/>
  <c r="BA56" i="10"/>
  <c r="BM58" i="10"/>
  <c r="BR58" i="10" s="1"/>
  <c r="BM27" i="10"/>
  <c r="BM47" i="10"/>
  <c r="BR47" i="10" s="1"/>
  <c r="BM82" i="10"/>
  <c r="BR82" i="10" s="1"/>
  <c r="BM79" i="10"/>
  <c r="BR79" i="10" s="1"/>
  <c r="BM24" i="10"/>
  <c r="BM70" i="10"/>
  <c r="AZ18" i="10"/>
  <c r="BR80" i="10"/>
  <c r="BR31" i="10"/>
  <c r="CC31" i="10"/>
  <c r="CF31" i="10" s="1"/>
  <c r="BR72" i="10"/>
  <c r="BN54" i="10"/>
  <c r="BS54" i="10"/>
  <c r="BS65" i="10"/>
  <c r="BN65" i="10"/>
  <c r="S56" i="10"/>
  <c r="AZ56" i="10"/>
  <c r="BN49" i="10"/>
  <c r="BS49" i="10"/>
  <c r="BM38" i="10"/>
  <c r="AY37" i="10"/>
  <c r="BN24" i="10"/>
  <c r="BS24" i="10"/>
  <c r="BN30" i="10"/>
  <c r="BS30" i="10"/>
  <c r="BB29" i="10"/>
  <c r="BB41" i="10"/>
  <c r="BN42" i="10"/>
  <c r="BS42" i="10"/>
  <c r="BX42" i="10"/>
  <c r="BO25" i="10"/>
  <c r="BV43" i="10"/>
  <c r="BW43" i="10" s="1"/>
  <c r="Q43" i="10"/>
  <c r="BU43" i="10"/>
  <c r="BX43" i="10" s="1"/>
  <c r="BM34" i="10"/>
  <c r="BO21" i="10"/>
  <c r="BS32" i="10"/>
  <c r="BS31" i="10"/>
  <c r="BO85" i="10"/>
  <c r="BO84" i="10" s="1"/>
  <c r="BE84" i="10"/>
  <c r="BN80" i="10"/>
  <c r="CC80" i="10" s="1"/>
  <c r="CF80" i="10" s="1"/>
  <c r="BS80" i="10"/>
  <c r="AZ74" i="10"/>
  <c r="BM66" i="10"/>
  <c r="BO75" i="10"/>
  <c r="BE74" i="10"/>
  <c r="BM64" i="10"/>
  <c r="BO70" i="10"/>
  <c r="BV67" i="10"/>
  <c r="BW67" i="10" s="1"/>
  <c r="BU67" i="10"/>
  <c r="BX67" i="10" s="1"/>
  <c r="Q67" i="10"/>
  <c r="BE51" i="10"/>
  <c r="BO52" i="10"/>
  <c r="BO51" i="10" s="1"/>
  <c r="CC63" i="10"/>
  <c r="BR63" i="10"/>
  <c r="BM45" i="10"/>
  <c r="BM53" i="10"/>
  <c r="BN47" i="10"/>
  <c r="BM25" i="10"/>
  <c r="BD41" i="10"/>
  <c r="AC12" i="10"/>
  <c r="BS39" i="10"/>
  <c r="BS35" i="10"/>
  <c r="BN35" i="10"/>
  <c r="BS23" i="10"/>
  <c r="BN23" i="10"/>
  <c r="BS22" i="10"/>
  <c r="BV58" i="10"/>
  <c r="BW58" i="10" s="1"/>
  <c r="Q58" i="10"/>
  <c r="BU58" i="10"/>
  <c r="BX58" i="10" s="1"/>
  <c r="BE41" i="10"/>
  <c r="BO42" i="10"/>
  <c r="BU32" i="10"/>
  <c r="BX32" i="10" s="1"/>
  <c r="Q32" i="10"/>
  <c r="BV32" i="10"/>
  <c r="BW32" i="10" s="1"/>
  <c r="BM19" i="10"/>
  <c r="AY18" i="10"/>
  <c r="Q63" i="10"/>
  <c r="BV63" i="10"/>
  <c r="BW63" i="10" s="1"/>
  <c r="BU63" i="10"/>
  <c r="BX63" i="10" s="1"/>
  <c r="AY84" i="10"/>
  <c r="BM85" i="10"/>
  <c r="BO81" i="10"/>
  <c r="BS72" i="10"/>
  <c r="BO77" i="10"/>
  <c r="AY51" i="10"/>
  <c r="BM52" i="10"/>
  <c r="BV53" i="10"/>
  <c r="BW53" i="10" s="1"/>
  <c r="Q53" i="10"/>
  <c r="BU53" i="10"/>
  <c r="BX53" i="10" s="1"/>
  <c r="BS81" i="10"/>
  <c r="BN81" i="10"/>
  <c r="CC81" i="10" s="1"/>
  <c r="CF81" i="10" s="1"/>
  <c r="BN57" i="10"/>
  <c r="BG41" i="10"/>
  <c r="BO35" i="10"/>
  <c r="S29" i="10"/>
  <c r="BH74" i="10"/>
  <c r="BW42" i="10"/>
  <c r="BO39" i="10"/>
  <c r="BS33" i="10"/>
  <c r="BC18" i="10"/>
  <c r="BO32" i="10"/>
  <c r="Q19" i="10"/>
  <c r="R18" i="10"/>
  <c r="BD18" i="10"/>
  <c r="BR81" i="10"/>
  <c r="BR59" i="10"/>
  <c r="BV82" i="10"/>
  <c r="BW82" i="10" s="1"/>
  <c r="Q82" i="10"/>
  <c r="BU82" i="10"/>
  <c r="BX82" i="10" s="1"/>
  <c r="Q46" i="10"/>
  <c r="BV46" i="10"/>
  <c r="BW46" i="10" s="1"/>
  <c r="BU46" i="10"/>
  <c r="BX46" i="10" s="1"/>
  <c r="BN59" i="10"/>
  <c r="CC59" i="10" s="1"/>
  <c r="BS59" i="10"/>
  <c r="BO71" i="10"/>
  <c r="BU64" i="10"/>
  <c r="BX64" i="10" s="1"/>
  <c r="BV64" i="10"/>
  <c r="BW64" i="10" s="1"/>
  <c r="Q64" i="10"/>
  <c r="BO67" i="10"/>
  <c r="BG74" i="10"/>
  <c r="BV79" i="10"/>
  <c r="BW79" i="10" s="1"/>
  <c r="BU79" i="10"/>
  <c r="BX79" i="10" s="1"/>
  <c r="Q79" i="10"/>
  <c r="BV84" i="10"/>
  <c r="BW85" i="10"/>
  <c r="BW84" i="10" s="1"/>
  <c r="S74" i="10"/>
  <c r="BO79" i="10"/>
  <c r="BO57" i="10"/>
  <c r="BE56" i="10"/>
  <c r="BO64" i="10"/>
  <c r="BM54" i="10"/>
  <c r="BS82" i="10"/>
  <c r="BN82" i="10"/>
  <c r="BM76" i="10"/>
  <c r="BS69" i="10"/>
  <c r="BN69" i="10"/>
  <c r="BM67" i="10"/>
  <c r="BB74" i="10"/>
  <c r="BN75" i="10"/>
  <c r="BS75" i="10"/>
  <c r="BO66" i="10"/>
  <c r="BR68" i="10"/>
  <c r="BS48" i="10"/>
  <c r="BN48" i="10"/>
  <c r="BM49" i="10"/>
  <c r="BA74" i="10"/>
  <c r="BM48" i="10"/>
  <c r="AY41" i="10"/>
  <c r="BM42" i="10"/>
  <c r="BF29" i="10"/>
  <c r="BV34" i="10"/>
  <c r="BW34" i="10" s="1"/>
  <c r="Q34" i="10"/>
  <c r="BU34" i="10"/>
  <c r="BX34" i="10" s="1"/>
  <c r="BO47" i="10"/>
  <c r="AZ41" i="10"/>
  <c r="BM39" i="10"/>
  <c r="BN68" i="10"/>
  <c r="CC68" i="10" s="1"/>
  <c r="BO26" i="10"/>
  <c r="BG18" i="10"/>
  <c r="BO65" i="10"/>
  <c r="BF74" i="10"/>
  <c r="BU84" i="10"/>
  <c r="BX85" i="10"/>
  <c r="BX84" i="10" s="1"/>
  <c r="R74" i="10"/>
  <c r="BV75" i="10"/>
  <c r="BU75" i="10"/>
  <c r="Q75" i="10"/>
  <c r="BU52" i="10"/>
  <c r="R51" i="10"/>
  <c r="Q52" i="10"/>
  <c r="BV52" i="10"/>
  <c r="BN45" i="10"/>
  <c r="BS45" i="10"/>
  <c r="BV72" i="10"/>
  <c r="BW72" i="10" s="1"/>
  <c r="Q72" i="10"/>
  <c r="BU72" i="10"/>
  <c r="BX72" i="10" s="1"/>
  <c r="BV78" i="10"/>
  <c r="BW78" i="10" s="1"/>
  <c r="Q78" i="10"/>
  <c r="BU78" i="10"/>
  <c r="BX78" i="10" s="1"/>
  <c r="BC74" i="10"/>
  <c r="AY56" i="10"/>
  <c r="BM57" i="10"/>
  <c r="BV62" i="10"/>
  <c r="BW62" i="10" s="1"/>
  <c r="Q62" i="10"/>
  <c r="BU62" i="10"/>
  <c r="BX62" i="10" s="1"/>
  <c r="BU57" i="10"/>
  <c r="R56" i="10"/>
  <c r="Q57" i="10"/>
  <c r="Q56" i="10" s="1"/>
  <c r="BV57" i="10"/>
  <c r="BM71" i="10"/>
  <c r="BS61" i="10"/>
  <c r="BN61" i="10"/>
  <c r="CC61" i="10" s="1"/>
  <c r="CF61" i="10" s="1"/>
  <c r="BV54" i="10"/>
  <c r="BW54" i="10" s="1"/>
  <c r="Q54" i="10"/>
  <c r="BU54" i="10"/>
  <c r="BX54" i="10" s="1"/>
  <c r="BO82" i="10"/>
  <c r="BS76" i="10"/>
  <c r="BN76" i="10"/>
  <c r="BO69" i="10"/>
  <c r="BN72" i="10"/>
  <c r="CC72" i="10" s="1"/>
  <c r="BO68" i="10"/>
  <c r="BO48" i="10"/>
  <c r="BO49" i="10"/>
  <c r="BD74" i="10"/>
  <c r="BM60" i="10"/>
  <c r="BM46" i="10"/>
  <c r="BM44" i="10"/>
  <c r="BM30" i="10"/>
  <c r="D3" i="7" s="1"/>
  <c r="AY29" i="10"/>
  <c r="BV23" i="10"/>
  <c r="BW23" i="10" s="1"/>
  <c r="Q23" i="10"/>
  <c r="BU23" i="10"/>
  <c r="BX23" i="10" s="1"/>
  <c r="AZ29" i="10"/>
  <c r="BR20" i="10"/>
  <c r="CC20" i="10"/>
  <c r="BO34" i="10"/>
  <c r="BO20" i="10"/>
  <c r="BO23" i="10"/>
  <c r="S41" i="10"/>
  <c r="Q39" i="10"/>
  <c r="BU39" i="10"/>
  <c r="BX39" i="10" s="1"/>
  <c r="BV39" i="10"/>
  <c r="BW39" i="10" s="1"/>
  <c r="Q26" i="10"/>
  <c r="BV26" i="10"/>
  <c r="BW26" i="10" s="1"/>
  <c r="BU26" i="10"/>
  <c r="BX26" i="10" s="1"/>
  <c r="AV12" i="10"/>
  <c r="BH41" i="10"/>
  <c r="CC62" i="10"/>
  <c r="BU76" i="10"/>
  <c r="BX76" i="10" s="1"/>
  <c r="BV76" i="10"/>
  <c r="BW76" i="10" s="1"/>
  <c r="Q76" i="10"/>
  <c r="CC69" i="10"/>
  <c r="CF69" i="10" s="1"/>
  <c r="BR69" i="10"/>
  <c r="BC56" i="10"/>
  <c r="BU68" i="10"/>
  <c r="BX68" i="10" s="1"/>
  <c r="BV68" i="10"/>
  <c r="BW68" i="10" s="1"/>
  <c r="Q68" i="10"/>
  <c r="BF51" i="10"/>
  <c r="BS60" i="10"/>
  <c r="BN60" i="10"/>
  <c r="BN44" i="10"/>
  <c r="BS44" i="10"/>
  <c r="CC23" i="10"/>
  <c r="BR23" i="10"/>
  <c r="BR22" i="10"/>
  <c r="CC22" i="10"/>
  <c r="BU22" i="10"/>
  <c r="BX22" i="10" s="1"/>
  <c r="Q22" i="10"/>
  <c r="BV22" i="10"/>
  <c r="BW22" i="10" s="1"/>
  <c r="BO38" i="10"/>
  <c r="BO27" i="10"/>
  <c r="BS66" i="10"/>
  <c r="BS43" i="10"/>
  <c r="BN43" i="10"/>
  <c r="CC43" i="10" s="1"/>
  <c r="CF43" i="10" s="1"/>
  <c r="BC41" i="10"/>
  <c r="BM26" i="10"/>
  <c r="S18" i="10"/>
  <c r="BN79" i="10"/>
  <c r="CC79" i="10" s="1"/>
  <c r="BS79" i="10"/>
  <c r="BO61" i="10"/>
  <c r="BO76" i="10"/>
  <c r="BF56" i="10"/>
  <c r="BR61" i="10"/>
  <c r="BO60" i="10"/>
  <c r="BO44" i="10"/>
  <c r="BV38" i="10"/>
  <c r="Q38" i="10"/>
  <c r="BU38" i="10"/>
  <c r="R37" i="10"/>
  <c r="Q20" i="10"/>
  <c r="BV20" i="10"/>
  <c r="BW20" i="10" s="1"/>
  <c r="BU20" i="10"/>
  <c r="BX20" i="10" s="1"/>
  <c r="BO58" i="10"/>
  <c r="N6" i="10"/>
  <c r="BS27" i="10"/>
  <c r="BN27" i="10"/>
  <c r="BO43" i="10"/>
  <c r="BN26" i="10"/>
  <c r="BS26" i="10"/>
  <c r="BE18" i="10"/>
  <c r="BA18" i="10"/>
  <c r="BN71" i="10"/>
  <c r="BS71" i="10"/>
  <c r="BN78" i="10"/>
  <c r="BS78" i="10"/>
  <c r="BS85" i="10"/>
  <c r="BS84" i="10" s="1"/>
  <c r="BN85" i="10"/>
  <c r="BN84" i="10" s="1"/>
  <c r="BB84" i="10"/>
  <c r="CC77" i="10"/>
  <c r="CF77" i="10" s="1"/>
  <c r="BR77" i="10"/>
  <c r="CD77" i="10" s="1"/>
  <c r="BV59" i="10"/>
  <c r="BW59" i="10" s="1"/>
  <c r="Q59" i="10"/>
  <c r="BU59" i="10"/>
  <c r="BX59" i="10" s="1"/>
  <c r="BS67" i="10"/>
  <c r="BN67" i="10"/>
  <c r="AY74" i="10"/>
  <c r="BM75" i="10"/>
  <c r="BR65" i="10"/>
  <c r="BN46" i="10"/>
  <c r="BS46" i="10"/>
  <c r="AZ51" i="10"/>
  <c r="BV60" i="10"/>
  <c r="BW60" i="10" s="1"/>
  <c r="BU60" i="10"/>
  <c r="BX60" i="10" s="1"/>
  <c r="Q60" i="10"/>
  <c r="BS53" i="10"/>
  <c r="BN53" i="10"/>
  <c r="BU44" i="10"/>
  <c r="BX44" i="10" s="1"/>
  <c r="Q44" i="10"/>
  <c r="BV44" i="10"/>
  <c r="BW44" i="10" s="1"/>
  <c r="BU30" i="10"/>
  <c r="R29" i="10"/>
  <c r="Q30" i="10"/>
  <c r="BV30" i="10"/>
  <c r="BM21" i="10"/>
  <c r="BS38" i="10"/>
  <c r="BN38" i="10"/>
  <c r="BN37" i="10" s="1"/>
  <c r="BB37" i="10"/>
  <c r="BV24" i="10"/>
  <c r="BW24" i="10" s="1"/>
  <c r="Q24" i="10"/>
  <c r="BU24" i="10"/>
  <c r="BX24" i="10" s="1"/>
  <c r="BE29" i="10"/>
  <c r="BO30" i="10"/>
  <c r="BS58" i="10"/>
  <c r="BN58" i="10"/>
  <c r="R41" i="10"/>
  <c r="BN25" i="10"/>
  <c r="BS25" i="10"/>
  <c r="BR43" i="10"/>
  <c r="CD43" i="10" s="1"/>
  <c r="BF41" i="10"/>
  <c r="BM35" i="10"/>
  <c r="BB18" i="10"/>
  <c r="BS19" i="10"/>
  <c r="BN19" i="10"/>
  <c r="CD65" i="10" l="1"/>
  <c r="CF20" i="10"/>
  <c r="CD61" i="10"/>
  <c r="CD62" i="10"/>
  <c r="CD23" i="10"/>
  <c r="CD63" i="10"/>
  <c r="BH12" i="10"/>
  <c r="E13" i="7" s="1"/>
  <c r="I13" i="7" s="1"/>
  <c r="BS51" i="10"/>
  <c r="CC70" i="10"/>
  <c r="CF70" i="10" s="1"/>
  <c r="CD47" i="10"/>
  <c r="BO37" i="10"/>
  <c r="CD20" i="10"/>
  <c r="CD68" i="10"/>
  <c r="BN18" i="10"/>
  <c r="BG12" i="10"/>
  <c r="E12" i="7" s="1"/>
  <c r="CD69" i="10"/>
  <c r="BF12" i="10"/>
  <c r="E11" i="7" s="1"/>
  <c r="D6" i="7"/>
  <c r="CD82" i="10"/>
  <c r="BN51" i="10"/>
  <c r="D4" i="7"/>
  <c r="BS18" i="10"/>
  <c r="CF22" i="10"/>
  <c r="CD22" i="10"/>
  <c r="BV41" i="10"/>
  <c r="BX41" i="10"/>
  <c r="CC65" i="10"/>
  <c r="CF65" i="10" s="1"/>
  <c r="CD81" i="10"/>
  <c r="Q41" i="10"/>
  <c r="CC24" i="10"/>
  <c r="CC27" i="10"/>
  <c r="CF27" i="10" s="1"/>
  <c r="CD78" i="10"/>
  <c r="BB12" i="10"/>
  <c r="H10" i="7" s="1"/>
  <c r="BS56" i="10"/>
  <c r="CF23" i="10"/>
  <c r="CD58" i="10"/>
  <c r="I11" i="7"/>
  <c r="I12" i="7"/>
  <c r="CC78" i="10"/>
  <c r="CF78" i="10" s="1"/>
  <c r="BR24" i="10"/>
  <c r="CC58" i="10"/>
  <c r="CF58" i="10" s="1"/>
  <c r="AY12" i="10"/>
  <c r="BR27" i="10"/>
  <c r="CD27" i="10" s="1"/>
  <c r="AZ12" i="10"/>
  <c r="BR70" i="10"/>
  <c r="CD70" i="10" s="1"/>
  <c r="BA12" i="10"/>
  <c r="CC47" i="10"/>
  <c r="CF47" i="10" s="1"/>
  <c r="CC82" i="10"/>
  <c r="CF82" i="10" s="1"/>
  <c r="CF62" i="10"/>
  <c r="CF24" i="10"/>
  <c r="CF68" i="10"/>
  <c r="CF72" i="10"/>
  <c r="CF79" i="10"/>
  <c r="BR21" i="10"/>
  <c r="CD21" i="10" s="1"/>
  <c r="CC21" i="10"/>
  <c r="CF21" i="10" s="1"/>
  <c r="BV29" i="10"/>
  <c r="BW30" i="10"/>
  <c r="CC44" i="10"/>
  <c r="CF44" i="10" s="1"/>
  <c r="BR44" i="10"/>
  <c r="CD44" i="10" s="1"/>
  <c r="BR32" i="10"/>
  <c r="CD32" i="10" s="1"/>
  <c r="CC32" i="10"/>
  <c r="CF32" i="10" s="1"/>
  <c r="BO56" i="10"/>
  <c r="Q29" i="10"/>
  <c r="CC75" i="10"/>
  <c r="BM74" i="10"/>
  <c r="BR75" i="10"/>
  <c r="Q37" i="10"/>
  <c r="CC46" i="10"/>
  <c r="CF46" i="10" s="1"/>
  <c r="BR46" i="10"/>
  <c r="CD46" i="10" s="1"/>
  <c r="BW52" i="10"/>
  <c r="BV51" i="10"/>
  <c r="BR48" i="10"/>
  <c r="CD48" i="10" s="1"/>
  <c r="CC48" i="10"/>
  <c r="CF48" i="10" s="1"/>
  <c r="CD59" i="10"/>
  <c r="Q18" i="10"/>
  <c r="BM51" i="10"/>
  <c r="BR52" i="10"/>
  <c r="CC52" i="10"/>
  <c r="BR64" i="10"/>
  <c r="CD64" i="10" s="1"/>
  <c r="CC64" i="10"/>
  <c r="CF64" i="10" s="1"/>
  <c r="BR34" i="10"/>
  <c r="CD34" i="10" s="1"/>
  <c r="CC34" i="10"/>
  <c r="CF34" i="10" s="1"/>
  <c r="CD79" i="10"/>
  <c r="CF59" i="10"/>
  <c r="BR76" i="10"/>
  <c r="CD76" i="10" s="1"/>
  <c r="CC76" i="10"/>
  <c r="CF76" i="10" s="1"/>
  <c r="BX19" i="10"/>
  <c r="BX18" i="10" s="1"/>
  <c r="BU18" i="10"/>
  <c r="BO18" i="10"/>
  <c r="BV37" i="10"/>
  <c r="BW38" i="10"/>
  <c r="S12" i="10"/>
  <c r="S6" i="10" s="1"/>
  <c r="CC60" i="10"/>
  <c r="CF60" i="10" s="1"/>
  <c r="BR60" i="10"/>
  <c r="CD60" i="10" s="1"/>
  <c r="BU56" i="10"/>
  <c r="BX57" i="10"/>
  <c r="BX56" i="10" s="1"/>
  <c r="Q51" i="10"/>
  <c r="BS74" i="10"/>
  <c r="BV18" i="10"/>
  <c r="BV12" i="10" s="1"/>
  <c r="BW41" i="10"/>
  <c r="BR33" i="10"/>
  <c r="CD33" i="10" s="1"/>
  <c r="CC33" i="10"/>
  <c r="CF33" i="10" s="1"/>
  <c r="BS41" i="10"/>
  <c r="CC49" i="10"/>
  <c r="CF49" i="10" s="1"/>
  <c r="BR49" i="10"/>
  <c r="CD49" i="10" s="1"/>
  <c r="BN74" i="10"/>
  <c r="CC54" i="10"/>
  <c r="CF54" i="10" s="1"/>
  <c r="BR54" i="10"/>
  <c r="CD54" i="10" s="1"/>
  <c r="BN56" i="10"/>
  <c r="CF63" i="10"/>
  <c r="BR25" i="10"/>
  <c r="CD25" i="10" s="1"/>
  <c r="CC25" i="10"/>
  <c r="CF25" i="10" s="1"/>
  <c r="BN41" i="10"/>
  <c r="BR38" i="10"/>
  <c r="BM37" i="10"/>
  <c r="CC38" i="10"/>
  <c r="CC26" i="10"/>
  <c r="CF26" i="10" s="1"/>
  <c r="BR26" i="10"/>
  <c r="CD26" i="10" s="1"/>
  <c r="BU51" i="10"/>
  <c r="BX52" i="10"/>
  <c r="BX51" i="10" s="1"/>
  <c r="BR39" i="10"/>
  <c r="CD39" i="10" s="1"/>
  <c r="CC39" i="10"/>
  <c r="CF39" i="10" s="1"/>
  <c r="BO74" i="10"/>
  <c r="CD72" i="10"/>
  <c r="CD31" i="10"/>
  <c r="BE12" i="10"/>
  <c r="BR35" i="10"/>
  <c r="CD35" i="10" s="1"/>
  <c r="CC35" i="10"/>
  <c r="CF35" i="10" s="1"/>
  <c r="CD24" i="10"/>
  <c r="Q74" i="10"/>
  <c r="BR42" i="10"/>
  <c r="CC42" i="10"/>
  <c r="BM41" i="10"/>
  <c r="CC67" i="10"/>
  <c r="CF67" i="10" s="1"/>
  <c r="BR67" i="10"/>
  <c r="CD67" i="10" s="1"/>
  <c r="BC12" i="10"/>
  <c r="H11" i="7" s="1"/>
  <c r="BO41" i="10"/>
  <c r="CC53" i="10"/>
  <c r="CF53" i="10" s="1"/>
  <c r="BR53" i="10"/>
  <c r="CD53" i="10" s="1"/>
  <c r="BR66" i="10"/>
  <c r="CD66" i="10" s="1"/>
  <c r="CC66" i="10"/>
  <c r="CF66" i="10" s="1"/>
  <c r="BX38" i="10"/>
  <c r="BX37" i="10" s="1"/>
  <c r="BU37" i="10"/>
  <c r="BX30" i="10"/>
  <c r="BX29" i="10" s="1"/>
  <c r="BU29" i="10"/>
  <c r="BO29" i="10"/>
  <c r="BS37" i="10"/>
  <c r="CC71" i="10"/>
  <c r="CF71" i="10" s="1"/>
  <c r="BR71" i="10"/>
  <c r="CD71" i="10" s="1"/>
  <c r="BM56" i="10"/>
  <c r="BR57" i="10"/>
  <c r="CC57" i="10"/>
  <c r="BU74" i="10"/>
  <c r="BX75" i="10"/>
  <c r="BX74" i="10" s="1"/>
  <c r="BD12" i="10"/>
  <c r="H12" i="7" s="1"/>
  <c r="BR85" i="10"/>
  <c r="CC85" i="10"/>
  <c r="CC84" i="10" s="1"/>
  <c r="BM84" i="10"/>
  <c r="BM18" i="10"/>
  <c r="BR19" i="10"/>
  <c r="CC19" i="10"/>
  <c r="CC45" i="10"/>
  <c r="CF45" i="10" s="1"/>
  <c r="BR45" i="10"/>
  <c r="CD45" i="10" s="1"/>
  <c r="BS29" i="10"/>
  <c r="CC30" i="10"/>
  <c r="BM29" i="10"/>
  <c r="BR30" i="10"/>
  <c r="BW57" i="10"/>
  <c r="BV56" i="10"/>
  <c r="BW75" i="10"/>
  <c r="BV74" i="10"/>
  <c r="R12" i="10"/>
  <c r="BU41" i="10"/>
  <c r="BN29" i="10"/>
  <c r="CD80" i="10"/>
  <c r="BS12" i="10" l="1"/>
  <c r="S36" i="16"/>
  <c r="S59" i="16"/>
  <c r="S16" i="16"/>
  <c r="S66" i="16"/>
  <c r="S26" i="16"/>
  <c r="S69" i="16"/>
  <c r="S53" i="16"/>
  <c r="S25" i="16"/>
  <c r="S68" i="16"/>
  <c r="S52" i="16"/>
  <c r="S39" i="16"/>
  <c r="S48" i="16"/>
  <c r="S45" i="16"/>
  <c r="S47" i="16"/>
  <c r="S30" i="16"/>
  <c r="S33" i="16"/>
  <c r="S40" i="16"/>
  <c r="S56" i="16"/>
  <c r="S49" i="16"/>
  <c r="S55" i="16"/>
  <c r="S62" i="16"/>
  <c r="S14" i="16"/>
  <c r="S65" i="16"/>
  <c r="S21" i="16"/>
  <c r="S64" i="16"/>
  <c r="S24" i="16"/>
  <c r="S35" i="16"/>
  <c r="S44" i="16"/>
  <c r="S42" i="16"/>
  <c r="S43" i="16"/>
  <c r="S50" i="16"/>
  <c r="S27" i="16"/>
  <c r="S22" i="16"/>
  <c r="S67" i="16"/>
  <c r="S54" i="16"/>
  <c r="S29" i="16"/>
  <c r="S41" i="16"/>
  <c r="S51" i="16"/>
  <c r="S34" i="16"/>
  <c r="S71" i="16"/>
  <c r="S19" i="16"/>
  <c r="S58" i="16"/>
  <c r="S61" i="16"/>
  <c r="S60" i="16"/>
  <c r="S20" i="16"/>
  <c r="S31" i="16"/>
  <c r="S17" i="16"/>
  <c r="S18" i="16"/>
  <c r="S28" i="16"/>
  <c r="S46" i="16"/>
  <c r="S23" i="16"/>
  <c r="S63" i="16"/>
  <c r="S37" i="16"/>
  <c r="S70" i="16"/>
  <c r="S57" i="16"/>
  <c r="S15" i="16"/>
  <c r="S38" i="16"/>
  <c r="S32" i="16"/>
  <c r="S13" i="16"/>
  <c r="R36" i="16"/>
  <c r="R68" i="16"/>
  <c r="R52" i="16"/>
  <c r="R24" i="16"/>
  <c r="R63" i="16"/>
  <c r="R38" i="16"/>
  <c r="R19" i="16"/>
  <c r="R66" i="16"/>
  <c r="R41" i="16"/>
  <c r="R22" i="16"/>
  <c r="R27" i="16"/>
  <c r="R18" i="16"/>
  <c r="R44" i="16"/>
  <c r="R40" i="16"/>
  <c r="R56" i="16"/>
  <c r="R67" i="16"/>
  <c r="R25" i="16"/>
  <c r="R70" i="16"/>
  <c r="R48" i="16"/>
  <c r="R50" i="16"/>
  <c r="R28" i="16"/>
  <c r="R69" i="16"/>
  <c r="R21" i="16"/>
  <c r="R64" i="16"/>
  <c r="R39" i="16"/>
  <c r="R20" i="16"/>
  <c r="R57" i="16"/>
  <c r="R59" i="16"/>
  <c r="R33" i="16"/>
  <c r="R65" i="16"/>
  <c r="R49" i="16"/>
  <c r="R62" i="16"/>
  <c r="R37" i="16"/>
  <c r="R16" i="16"/>
  <c r="R47" i="16"/>
  <c r="R34" i="16"/>
  <c r="R30" i="16"/>
  <c r="R23" i="16"/>
  <c r="R26" i="16"/>
  <c r="R61" i="16"/>
  <c r="R60" i="16"/>
  <c r="R35" i="16"/>
  <c r="R14" i="16"/>
  <c r="R31" i="16"/>
  <c r="R71" i="16"/>
  <c r="R55" i="16"/>
  <c r="R29" i="16"/>
  <c r="R53" i="16"/>
  <c r="R45" i="16"/>
  <c r="R17" i="16"/>
  <c r="R58" i="16"/>
  <c r="R32" i="16"/>
  <c r="R15" i="16"/>
  <c r="R51" i="16"/>
  <c r="R46" i="16"/>
  <c r="R13" i="16"/>
  <c r="R42" i="16"/>
  <c r="R54" i="16"/>
  <c r="BN12" i="10"/>
  <c r="H14" i="7"/>
  <c r="E10" i="7"/>
  <c r="E14" i="7" s="1"/>
  <c r="I10" i="7"/>
  <c r="I14" i="7" s="1"/>
  <c r="D12" i="7"/>
  <c r="G12" i="7"/>
  <c r="D11" i="7"/>
  <c r="G11" i="7"/>
  <c r="G10" i="7"/>
  <c r="D10" i="7"/>
  <c r="CC18" i="10"/>
  <c r="CC56" i="10"/>
  <c r="BM12" i="10"/>
  <c r="CD19" i="10"/>
  <c r="CD18" i="10" s="1"/>
  <c r="BR18" i="10"/>
  <c r="CD57" i="10"/>
  <c r="CD56" i="10" s="1"/>
  <c r="BR56" i="10"/>
  <c r="BW18" i="10"/>
  <c r="CF19" i="10"/>
  <c r="CF18" i="10" s="1"/>
  <c r="BW37" i="10"/>
  <c r="CF38" i="10"/>
  <c r="CF37" i="10" s="1"/>
  <c r="CF85" i="10"/>
  <c r="CF84" i="10" s="1"/>
  <c r="Q12" i="10"/>
  <c r="Q6" i="10" s="1"/>
  <c r="CC29" i="10"/>
  <c r="BO12" i="10"/>
  <c r="CD75" i="10"/>
  <c r="CD74" i="10" s="1"/>
  <c r="BR74" i="10"/>
  <c r="CD85" i="10"/>
  <c r="CD84" i="10" s="1"/>
  <c r="BR84" i="10"/>
  <c r="BW56" i="10"/>
  <c r="CF57" i="10"/>
  <c r="CF56" i="10" s="1"/>
  <c r="BR37" i="10"/>
  <c r="CD38" i="10"/>
  <c r="CD37" i="10" s="1"/>
  <c r="BW29" i="10"/>
  <c r="CF30" i="10"/>
  <c r="CF29" i="10" s="1"/>
  <c r="BU12" i="10"/>
  <c r="CC74" i="10"/>
  <c r="BW74" i="10"/>
  <c r="CF75" i="10"/>
  <c r="CF74" i="10" s="1"/>
  <c r="CC41" i="10"/>
  <c r="CF42" i="10"/>
  <c r="CF41" i="10" s="1"/>
  <c r="CC37" i="10"/>
  <c r="BX12" i="10"/>
  <c r="BR29" i="10"/>
  <c r="CD30" i="10"/>
  <c r="CD29" i="10" s="1"/>
  <c r="BR41" i="10"/>
  <c r="CD42" i="10"/>
  <c r="CD41" i="10" s="1"/>
  <c r="CC51" i="10"/>
  <c r="BW51" i="10"/>
  <c r="CF52" i="10"/>
  <c r="CF51" i="10" s="1"/>
  <c r="CD52" i="10"/>
  <c r="CD51" i="10" s="1"/>
  <c r="BR51" i="10"/>
  <c r="R12" i="16" l="1"/>
  <c r="E4" i="7"/>
  <c r="BW12" i="10"/>
  <c r="S12" i="16"/>
  <c r="Q48" i="16"/>
  <c r="Q50" i="16"/>
  <c r="Q28" i="16"/>
  <c r="Q62" i="16"/>
  <c r="Q38" i="16"/>
  <c r="Q14" i="16"/>
  <c r="Q57" i="16"/>
  <c r="Q41" i="16"/>
  <c r="Q25" i="16"/>
  <c r="Q64" i="16"/>
  <c r="Q40" i="16"/>
  <c r="Q20" i="16"/>
  <c r="Q59" i="16"/>
  <c r="Q31" i="16"/>
  <c r="Q56" i="16"/>
  <c r="Q67" i="16"/>
  <c r="Q22" i="16"/>
  <c r="Q61" i="16"/>
  <c r="Q24" i="16"/>
  <c r="Q35" i="16"/>
  <c r="Q27" i="16"/>
  <c r="Q18" i="16"/>
  <c r="Q44" i="16"/>
  <c r="Q58" i="16"/>
  <c r="Q30" i="16"/>
  <c r="Q69" i="16"/>
  <c r="Q53" i="16"/>
  <c r="Q37" i="16"/>
  <c r="Q21" i="16"/>
  <c r="Q60" i="16"/>
  <c r="Q36" i="16"/>
  <c r="Q16" i="16"/>
  <c r="Q71" i="16"/>
  <c r="Q55" i="16"/>
  <c r="Q23" i="16"/>
  <c r="Q32" i="16"/>
  <c r="Q39" i="16"/>
  <c r="Q46" i="16"/>
  <c r="Q43" i="16"/>
  <c r="Q66" i="16"/>
  <c r="Q45" i="16"/>
  <c r="Q52" i="16"/>
  <c r="Q63" i="16"/>
  <c r="Q47" i="16"/>
  <c r="Q34" i="16"/>
  <c r="Q70" i="16"/>
  <c r="Q54" i="16"/>
  <c r="Q26" i="16"/>
  <c r="Q65" i="16"/>
  <c r="Q49" i="16"/>
  <c r="Q33" i="16"/>
  <c r="Q17" i="16"/>
  <c r="Q13" i="16"/>
  <c r="Q19" i="16"/>
  <c r="Q51" i="16"/>
  <c r="Q42" i="16"/>
  <c r="Q29" i="16"/>
  <c r="Q68" i="16"/>
  <c r="Q15" i="16"/>
  <c r="E6" i="7"/>
  <c r="C6" i="7" s="1"/>
  <c r="D14" i="7"/>
  <c r="G14" i="7"/>
  <c r="E3" i="7"/>
  <c r="C3" i="7" s="1"/>
  <c r="CC12" i="10"/>
  <c r="CD12" i="10"/>
  <c r="CF12" i="10"/>
  <c r="BR12" i="10"/>
  <c r="Q12" i="16" l="1"/>
  <c r="C4" i="7" l="1"/>
</calcChain>
</file>

<file path=xl/comments1.xml><?xml version="1.0" encoding="utf-8"?>
<comments xmlns="http://schemas.openxmlformats.org/spreadsheetml/2006/main">
  <authors>
    <author>Patrick Huwig</author>
  </authors>
  <commentList>
    <comment ref="AX2" authorId="0">
      <text>
        <r>
          <rPr>
            <b/>
            <sz val="11"/>
            <color indexed="81"/>
            <rFont val="Segoe UI"/>
            <family val="2"/>
          </rPr>
          <t>Patrick Huwig:</t>
        </r>
        <r>
          <rPr>
            <sz val="11"/>
            <color indexed="81"/>
            <rFont val="Segoe UI"/>
            <family val="2"/>
          </rPr>
          <t xml:space="preserve">
aus AG Mobilität
0,7 Stellplätze / WE * 0,3</t>
        </r>
      </text>
    </comment>
    <comment ref="AX4" authorId="0">
      <text>
        <r>
          <rPr>
            <b/>
            <sz val="11"/>
            <color indexed="81"/>
            <rFont val="Segoe UI"/>
            <family val="2"/>
          </rPr>
          <t>Patrick Huwig:</t>
        </r>
        <r>
          <rPr>
            <sz val="11"/>
            <color indexed="81"/>
            <rFont val="Segoe UI"/>
            <family val="2"/>
          </rPr>
          <t xml:space="preserve">
aus AG Mobilität</t>
        </r>
      </text>
    </comment>
    <comment ref="AX6" authorId="0">
      <text>
        <r>
          <rPr>
            <b/>
            <sz val="11"/>
            <color indexed="81"/>
            <rFont val="Segoe UI"/>
            <family val="2"/>
          </rPr>
          <t>Patrick Huwig:</t>
        </r>
        <r>
          <rPr>
            <sz val="11"/>
            <color indexed="81"/>
            <rFont val="Segoe UI"/>
            <family val="2"/>
          </rPr>
          <t xml:space="preserve">
aus AG Mobilität
30 % Emob für alle Nutzungen</t>
        </r>
      </text>
    </comment>
  </commentList>
</comments>
</file>

<file path=xl/comments2.xml><?xml version="1.0" encoding="utf-8"?>
<comments xmlns="http://schemas.openxmlformats.org/spreadsheetml/2006/main">
  <authors>
    <author>Patrick Huwig</author>
  </authors>
  <commentList>
    <comment ref="BU2" authorId="0">
      <text>
        <r>
          <rPr>
            <b/>
            <sz val="11"/>
            <color indexed="81"/>
            <rFont val="Segoe UI"/>
            <family val="2"/>
          </rPr>
          <t>Patrick Huwig:</t>
        </r>
        <r>
          <rPr>
            <sz val="11"/>
            <color indexed="81"/>
            <rFont val="Segoe UI"/>
            <family val="2"/>
          </rPr>
          <t xml:space="preserve">
aus AG Mobilität
0,7 Stellplätze / WE * 0,3</t>
        </r>
      </text>
    </comment>
    <comment ref="CC2" authorId="0">
      <text>
        <r>
          <rPr>
            <b/>
            <sz val="11"/>
            <color indexed="81"/>
            <rFont val="Segoe UI"/>
            <family val="2"/>
          </rPr>
          <t>Patrick Huwig:</t>
        </r>
        <r>
          <rPr>
            <sz val="11"/>
            <color indexed="81"/>
            <rFont val="Segoe UI"/>
            <family val="2"/>
          </rPr>
          <t xml:space="preserve">
Detailbetrachtung je Wärme-Variante</t>
        </r>
      </text>
    </comment>
    <comment ref="BU4" authorId="0">
      <text>
        <r>
          <rPr>
            <b/>
            <sz val="11"/>
            <color indexed="81"/>
            <rFont val="Segoe UI"/>
            <family val="2"/>
          </rPr>
          <t>Patrick Huwig:</t>
        </r>
        <r>
          <rPr>
            <sz val="11"/>
            <color indexed="81"/>
            <rFont val="Segoe UI"/>
            <family val="2"/>
          </rPr>
          <t xml:space="preserve">
aus AG Mobilität</t>
        </r>
      </text>
    </comment>
    <comment ref="BU6" authorId="0">
      <text>
        <r>
          <rPr>
            <b/>
            <sz val="11"/>
            <color indexed="81"/>
            <rFont val="Segoe UI"/>
            <family val="2"/>
          </rPr>
          <t>Patrick Huwig:</t>
        </r>
        <r>
          <rPr>
            <sz val="11"/>
            <color indexed="81"/>
            <rFont val="Segoe UI"/>
            <family val="2"/>
          </rPr>
          <t xml:space="preserve">
aus AG Mobilität
30 % Emob für alle Nutzungen</t>
        </r>
      </text>
    </comment>
    <comment ref="CH6" authorId="0">
      <text>
        <r>
          <rPr>
            <b/>
            <sz val="12"/>
            <color indexed="81"/>
            <rFont val="Segoe UI"/>
            <family val="2"/>
          </rPr>
          <t>Patrick Huwig:</t>
        </r>
        <r>
          <rPr>
            <sz val="12"/>
            <color indexed="81"/>
            <rFont val="Segoe UI"/>
            <family val="2"/>
          </rPr>
          <t xml:space="preserve">
Durchschnittswert für Grundlast (Wohnen/Gewerbe)
Berücksichtigung von Medizinischem Teil in Seeberger Gebäude + Quartiers-Rechenzentrum </t>
        </r>
      </text>
    </comment>
    <comment ref="S30" authorId="0">
      <text>
        <r>
          <rPr>
            <b/>
            <sz val="9"/>
            <color indexed="81"/>
            <rFont val="Segoe UI"/>
            <family val="2"/>
          </rPr>
          <t>Patrick Huwig:</t>
        </r>
        <r>
          <rPr>
            <sz val="9"/>
            <color indexed="81"/>
            <rFont val="Segoe UI"/>
            <family val="2"/>
          </rPr>
          <t xml:space="preserve">
Andere Zahlen für Gesundheit, siehe Flächenbialnz Astoc/Mess</t>
        </r>
      </text>
    </comment>
    <comment ref="J31" authorId="0">
      <text>
        <r>
          <rPr>
            <b/>
            <sz val="9"/>
            <color indexed="81"/>
            <rFont val="Segoe UI"/>
            <family val="2"/>
          </rPr>
          <t xml:space="preserve">Patrick Huwig:
inkl. Aufstockung </t>
        </r>
      </text>
    </comment>
    <comment ref="O31" authorId="0">
      <text>
        <r>
          <rPr>
            <b/>
            <sz val="9"/>
            <color indexed="81"/>
            <rFont val="Segoe UI"/>
            <family val="2"/>
          </rPr>
          <t>Patrick Huwig:</t>
        </r>
        <r>
          <rPr>
            <sz val="9"/>
            <color indexed="81"/>
            <rFont val="Segoe UI"/>
            <family val="2"/>
          </rPr>
          <t xml:space="preserve">
inkl. Aufstockung </t>
        </r>
      </text>
    </comment>
    <comment ref="S35" authorId="0">
      <text>
        <r>
          <rPr>
            <b/>
            <sz val="9"/>
            <color indexed="81"/>
            <rFont val="Segoe UI"/>
            <family val="2"/>
          </rPr>
          <t>Patrick Huwig:</t>
        </r>
        <r>
          <rPr>
            <sz val="9"/>
            <color indexed="81"/>
            <rFont val="Segoe UI"/>
            <family val="2"/>
          </rPr>
          <t xml:space="preserve">
Kopfgebäude hat laut Flächenbilanz von Astoc keine Mitarbeiter oder Bewohenr</t>
        </r>
      </text>
    </comment>
    <comment ref="B65" authorId="0">
      <text>
        <r>
          <rPr>
            <b/>
            <sz val="9"/>
            <color indexed="81"/>
            <rFont val="Segoe UI"/>
            <family val="2"/>
          </rPr>
          <t>Patrick Huwig: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Segoe UI"/>
            <family val="2"/>
          </rPr>
          <t xml:space="preserve">Herr Sorek möchte aktuellen Aussagen nach möglichst nicht Dämmen, daher derzeit hohe Verbrauchswerte angestezt
</t>
        </r>
      </text>
    </comment>
    <comment ref="B66" authorId="0">
      <text>
        <r>
          <rPr>
            <b/>
            <sz val="9"/>
            <color indexed="81"/>
            <rFont val="Segoe UI"/>
            <family val="2"/>
          </rPr>
          <t>Patrick Huwig: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Herr Sorek möchte aktuellen Aussagen nach möglichst nicht Dämmen, daher derzeit hohe Verbrauchswerte angestezt</t>
        </r>
      </text>
    </comment>
  </commentList>
</comments>
</file>

<file path=xl/comments3.xml><?xml version="1.0" encoding="utf-8"?>
<comments xmlns="http://schemas.openxmlformats.org/spreadsheetml/2006/main">
  <authors>
    <author>Patrick Huwig</author>
  </authors>
  <commentList>
    <comment ref="I13" authorId="0">
      <text>
        <r>
          <rPr>
            <b/>
            <sz val="9"/>
            <color indexed="81"/>
            <rFont val="Segoe UI"/>
            <family val="2"/>
          </rPr>
          <t>Patrick Huwig:</t>
        </r>
        <r>
          <rPr>
            <sz val="9"/>
            <color indexed="81"/>
            <rFont val="Segoe UI"/>
            <family val="2"/>
          </rPr>
          <t xml:space="preserve">
Parken im Bestand (Keller/Untergeschosse) enthalten </t>
        </r>
      </text>
    </comment>
  </commentList>
</comments>
</file>

<file path=xl/sharedStrings.xml><?xml version="1.0" encoding="utf-8"?>
<sst xmlns="http://schemas.openxmlformats.org/spreadsheetml/2006/main" count="555" uniqueCount="224">
  <si>
    <t>Fahrleistung</t>
  </si>
  <si>
    <t xml:space="preserve">Ladeleistung 
</t>
  </si>
  <si>
    <t>Lichtpunkte alle</t>
  </si>
  <si>
    <t>Straßenmeter</t>
  </si>
  <si>
    <t>JAZ Heizen</t>
  </si>
  <si>
    <t>Anteil ST an WW</t>
  </si>
  <si>
    <t>(30% 50kW, 70% 22 kW)</t>
  </si>
  <si>
    <t>EnStadt:Pfaff</t>
  </si>
  <si>
    <t>Bestand grün markiert</t>
  </si>
  <si>
    <t>Volllaststunden</t>
  </si>
  <si>
    <t>Beladestunden</t>
  </si>
  <si>
    <t>GHD - 1 Stellplatz pro</t>
  </si>
  <si>
    <t>Strombedarf</t>
  </si>
  <si>
    <t>Gleichzeitigkeitsfaktor</t>
  </si>
  <si>
    <t>Verbrauch pro Leuchte</t>
  </si>
  <si>
    <t>Leistung pro Leuchte</t>
  </si>
  <si>
    <t>JAZ WW</t>
  </si>
  <si>
    <t>COP</t>
  </si>
  <si>
    <t>Bedafsanalyse</t>
  </si>
  <si>
    <t>Parkhäuser / Tiefgaragen rot markiert</t>
  </si>
  <si>
    <t>Heizwärme</t>
  </si>
  <si>
    <t>Warmwasser</t>
  </si>
  <si>
    <t>Strom (Haushalt, Büro, Dienstleistung, Gewerbe)</t>
  </si>
  <si>
    <t>Wärmeleistungen</t>
  </si>
  <si>
    <t>Weitere Strombedarfe</t>
  </si>
  <si>
    <t>Gesamtstrombedarf</t>
  </si>
  <si>
    <t>Gebäude</t>
  </si>
  <si>
    <t>Flächen - Übersicht</t>
  </si>
  <si>
    <t>Wohnen</t>
  </si>
  <si>
    <t>Büro / DL</t>
  </si>
  <si>
    <t>Gewerbe</t>
  </si>
  <si>
    <t>Parken</t>
  </si>
  <si>
    <t>E-Mob</t>
  </si>
  <si>
    <t>Straßenleuchten</t>
  </si>
  <si>
    <t>Haushaltsstrom, Gewerbe, Wärmepumpen, Emob etc.</t>
  </si>
  <si>
    <r>
      <rPr>
        <b/>
        <sz val="10"/>
        <color rgb="FF010202"/>
        <rFont val="Verdana"/>
        <family val="2"/>
      </rPr>
      <t>Bereiche</t>
    </r>
  </si>
  <si>
    <r>
      <rPr>
        <b/>
        <sz val="10"/>
        <color rgb="FF010202"/>
        <rFont val="Verdana"/>
        <family val="2"/>
      </rPr>
      <t>Nr</t>
    </r>
  </si>
  <si>
    <t>Bemerkung</t>
  </si>
  <si>
    <t>Grundstücks-
fläche</t>
  </si>
  <si>
    <t>Bebaute
Grundfläche</t>
  </si>
  <si>
    <t>BGF
Wohnen</t>
  </si>
  <si>
    <t>BGF 
Büro / DL</t>
  </si>
  <si>
    <t>BGF
Gewerbe</t>
  </si>
  <si>
    <t>BGF
Parken</t>
  </si>
  <si>
    <t>Gesamt-BGF</t>
  </si>
  <si>
    <t>Einwohner</t>
  </si>
  <si>
    <t>Wohn-einheiten</t>
  </si>
  <si>
    <t>Arbeits-
plätze</t>
  </si>
  <si>
    <r>
      <rPr>
        <b/>
        <sz val="10"/>
        <color rgb="FF010202"/>
        <rFont val="Verdana"/>
        <family val="2"/>
      </rPr>
      <t>%</t>
    </r>
  </si>
  <si>
    <t>Kennwert
Heiz-wärme</t>
  </si>
  <si>
    <t>Kennwert
WW</t>
  </si>
  <si>
    <t>Kennwert
Strom</t>
  </si>
  <si>
    <t>Büro/DL</t>
  </si>
  <si>
    <r>
      <rPr>
        <b/>
        <sz val="10"/>
        <color rgb="FF010202"/>
        <rFont val="Verdana"/>
        <family val="2"/>
      </rPr>
      <t>Kultur+ Freizeit</t>
    </r>
  </si>
  <si>
    <t>Heizwärme-
bedarf</t>
  </si>
  <si>
    <t>WW-
Bedarf</t>
  </si>
  <si>
    <t>Strom-
bedarf</t>
  </si>
  <si>
    <t>Heizwärme
Gesamtbedarf</t>
  </si>
  <si>
    <t>Warmwasser
Gesamtbedarf</t>
  </si>
  <si>
    <t>Strom
Gesamtbedarf</t>
  </si>
  <si>
    <t>Heizleistung
Heizen</t>
  </si>
  <si>
    <t>Heizleistung
WW</t>
  </si>
  <si>
    <t>Ladeleistung</t>
  </si>
  <si>
    <t>el. Leistung</t>
  </si>
  <si>
    <t>Summe</t>
  </si>
  <si>
    <t>Baufeld 1 "PCP" + X</t>
  </si>
  <si>
    <t>PCP</t>
  </si>
  <si>
    <t>Baufeld 2 "An der Königstraße"</t>
  </si>
  <si>
    <t>Speisesaal</t>
  </si>
  <si>
    <t>Bestand</t>
  </si>
  <si>
    <t>rechte Pforte</t>
  </si>
  <si>
    <t>Baufeld 3 "Neue Verwaltung"</t>
  </si>
  <si>
    <t>linke Pforte</t>
  </si>
  <si>
    <t>Seeberger / Neue VW</t>
  </si>
  <si>
    <t>Parkhaus</t>
  </si>
  <si>
    <t xml:space="preserve">Baufeld 4 "An der Bahn" </t>
  </si>
  <si>
    <t>Baufeld 5 "Zentrum"</t>
  </si>
  <si>
    <t xml:space="preserve">Baufeld 6 "Erweiterung Klinikum"  </t>
  </si>
  <si>
    <t xml:space="preserve">Baufeld 7 "An der Stadtachse" </t>
  </si>
  <si>
    <t>Sorek</t>
  </si>
  <si>
    <t>Altes Kesselhaus</t>
  </si>
  <si>
    <t xml:space="preserve">Baufeld 8 "Um die Gießerei" </t>
  </si>
  <si>
    <t xml:space="preserve">Baufeld 9 "Kesselhaus" </t>
  </si>
  <si>
    <t>Neubau</t>
  </si>
  <si>
    <t>Gesamt</t>
  </si>
  <si>
    <t>Heizen</t>
  </si>
  <si>
    <t>Anteil Wohnen</t>
  </si>
  <si>
    <t>Anteil Büro/DL</t>
  </si>
  <si>
    <t>Anteil Gewerbe</t>
  </si>
  <si>
    <r>
      <rPr>
        <b/>
        <sz val="11"/>
        <color rgb="FF000000"/>
        <rFont val="Verdana"/>
        <family val="2"/>
      </rPr>
      <t>best case:</t>
    </r>
    <r>
      <rPr>
        <sz val="11"/>
        <color rgb="FF000000"/>
        <rFont val="Verdana"/>
        <family val="2"/>
      </rPr>
      <t xml:space="preserve">
- Hoher Sanierungsstandard des Bestands
- Hohe Effizienz im Neubau (NZEB entspricht
laut Simulation  für Bürobauten ab 2022 einem Heizwärmebedarf von ca. 12 kWh/m²*a)</t>
    </r>
  </si>
  <si>
    <t>Faktor E-Mob GHD</t>
  </si>
  <si>
    <t>Faktor E-Mob Wohnen</t>
  </si>
  <si>
    <t>Anteil Parken</t>
  </si>
  <si>
    <t>Kopfgebäude</t>
  </si>
  <si>
    <t>Gastro</t>
  </si>
  <si>
    <t>Forschung</t>
  </si>
  <si>
    <t>BGF = Bruttogeschossfläche</t>
  </si>
  <si>
    <t>NGF = Nettogeschossfläche</t>
  </si>
  <si>
    <t>NGF</t>
  </si>
  <si>
    <t>Beheizte BGF</t>
  </si>
  <si>
    <t>Gesamt-BGF
(mit Keller &amp; Parken)</t>
  </si>
  <si>
    <t>Anzahl
Geschosse</t>
  </si>
  <si>
    <t>Faktor
 BGF/NGF</t>
  </si>
  <si>
    <t>K e n n w e r t e                                                                                          K e n n w e r t e                                                                                          K e n n w e r t e</t>
  </si>
  <si>
    <t>Kennwert
Heizwärme</t>
  </si>
  <si>
    <t>Faktor BGF/NGF</t>
  </si>
  <si>
    <t>Bedarfe nach Nutzungsart                                                Bedarfe nach Nutzungsart                                                Bedarfe nach Nutzungsart</t>
  </si>
  <si>
    <t>Untergeschoss Parken</t>
  </si>
  <si>
    <t>Bestand/Parken</t>
  </si>
  <si>
    <t>Neubau/Parken</t>
  </si>
  <si>
    <t>Abschätzung elektrische 
Grundlast</t>
  </si>
  <si>
    <t>elektrische Grundlast</t>
  </si>
  <si>
    <t>PCP strebt eine eigene Versorgung an (Zeitdruck) und wird daher im Rahmen der Bedarfe und Potenziale 
nicht weiter berücksichtigt (abgestimmt mit Frau Dech-Pschorn)</t>
  </si>
  <si>
    <t>Abschätzung Wärmepumpen</t>
  </si>
  <si>
    <t>Ladepunkte</t>
  </si>
  <si>
    <t>E-Fahrzeuge</t>
  </si>
  <si>
    <t>Beheizte Fläche</t>
  </si>
  <si>
    <t>BGF Neubau</t>
  </si>
  <si>
    <t>BGF Bestand</t>
  </si>
  <si>
    <t>Nutzenergiebedarfe - TOTAL</t>
  </si>
  <si>
    <t>ohne Verluste (folgt in Variantenuntersuchung)</t>
  </si>
  <si>
    <t>Alle Kennwerte sind Nutzenergie-Bedarfe!</t>
  </si>
  <si>
    <t>Die Endenergie-Bedarfe ergeben sich aus der Variantenuntersuchung!</t>
  </si>
  <si>
    <t>Beheizte Fläche (ohne Keller/Parkhäuser)</t>
  </si>
  <si>
    <t>BGF</t>
  </si>
  <si>
    <t>Strom</t>
  </si>
  <si>
    <t>Heizwärme + WW</t>
  </si>
  <si>
    <t>Neubau + Bestand</t>
  </si>
  <si>
    <t>Nur Neubau</t>
  </si>
  <si>
    <t>TOTAL</t>
  </si>
  <si>
    <t>Kompressionskälte</t>
  </si>
  <si>
    <t>Buero/DL</t>
  </si>
  <si>
    <t>id</t>
  </si>
  <si>
    <t>GebZustand</t>
  </si>
  <si>
    <t>Nutzung</t>
  </si>
  <si>
    <t>BauAbschn</t>
  </si>
  <si>
    <t>GebNr</t>
  </si>
  <si>
    <t>GrundFl_qm</t>
  </si>
  <si>
    <t>ID_SPA</t>
  </si>
  <si>
    <t>StockwMax</t>
  </si>
  <si>
    <t>Neu</t>
  </si>
  <si>
    <t>4b</t>
  </si>
  <si>
    <t>SO5.3</t>
  </si>
  <si>
    <t>SO5.2</t>
  </si>
  <si>
    <t>4a</t>
  </si>
  <si>
    <t>MU1.4</t>
  </si>
  <si>
    <t>MU1.3</t>
  </si>
  <si>
    <t>MU1.1</t>
  </si>
  <si>
    <t>SO3a</t>
  </si>
  <si>
    <t>SO3b</t>
  </si>
  <si>
    <t>3a</t>
  </si>
  <si>
    <t>SO4.1</t>
  </si>
  <si>
    <t>SO4.2</t>
  </si>
  <si>
    <t>MU2.1</t>
  </si>
  <si>
    <t>MU2.3</t>
  </si>
  <si>
    <t>SO6.1</t>
  </si>
  <si>
    <t>MU3.1</t>
  </si>
  <si>
    <t>MU4.5</t>
  </si>
  <si>
    <t>SO5.1</t>
  </si>
  <si>
    <t>MU3.2</t>
  </si>
  <si>
    <t>MU1.2</t>
  </si>
  <si>
    <t>SO2c</t>
  </si>
  <si>
    <t>SO2b</t>
  </si>
  <si>
    <t>MU2.2</t>
  </si>
  <si>
    <t>SO1.3b</t>
  </si>
  <si>
    <t>SO1.3a</t>
  </si>
  <si>
    <t>SO1.2</t>
  </si>
  <si>
    <t>SO1.1</t>
  </si>
  <si>
    <t>MU3.3</t>
  </si>
  <si>
    <t>SO2a</t>
  </si>
  <si>
    <t>SO1.4</t>
  </si>
  <si>
    <t>SO1.3c</t>
  </si>
  <si>
    <t>7.1</t>
  </si>
  <si>
    <t>7.7</t>
  </si>
  <si>
    <t>7.2</t>
  </si>
  <si>
    <t>7.3</t>
  </si>
  <si>
    <t>5.6</t>
  </si>
  <si>
    <t>5.5</t>
  </si>
  <si>
    <t>5.4</t>
  </si>
  <si>
    <t>5.2</t>
  </si>
  <si>
    <t>5.3</t>
  </si>
  <si>
    <t>4.1</t>
  </si>
  <si>
    <t>4.2</t>
  </si>
  <si>
    <t>8.1</t>
  </si>
  <si>
    <t>8.2</t>
  </si>
  <si>
    <t>8.3</t>
  </si>
  <si>
    <t>8.5</t>
  </si>
  <si>
    <t>8.4</t>
  </si>
  <si>
    <t>8.6</t>
  </si>
  <si>
    <t>6.2</t>
  </si>
  <si>
    <t>6.1</t>
  </si>
  <si>
    <t>9.1</t>
  </si>
  <si>
    <t>1.10</t>
  </si>
  <si>
    <t>7.6</t>
  </si>
  <si>
    <t>7.4</t>
  </si>
  <si>
    <t>5.1</t>
  </si>
  <si>
    <t>3.2</t>
  </si>
  <si>
    <t>3.3</t>
  </si>
  <si>
    <t>8.7</t>
  </si>
  <si>
    <t>2.4</t>
  </si>
  <si>
    <t>2.3</t>
  </si>
  <si>
    <t>2.1</t>
  </si>
  <si>
    <t>2.2</t>
  </si>
  <si>
    <t>7.5</t>
  </si>
  <si>
    <t>3.1</t>
  </si>
  <si>
    <t>2.5</t>
  </si>
  <si>
    <t xml:space="preserve">Wohnen </t>
  </si>
  <si>
    <t>Büro /DL</t>
  </si>
  <si>
    <t>Brutto-
Geschossfläche</t>
  </si>
  <si>
    <t>Brutto-Geschossfläche 
Verteilung Nutzung</t>
  </si>
  <si>
    <t>Summe / 
Kontrolle</t>
  </si>
  <si>
    <t>Wohneinheiten</t>
  </si>
  <si>
    <t>Arbeitsplätze</t>
  </si>
  <si>
    <t xml:space="preserve"> Kennwerte
(Möglichkeit speziellen Gebäuden andere Kennwerte zu geben, z.B. MVZ)</t>
  </si>
  <si>
    <t>Bedarfe nach Nutzungsart</t>
  </si>
  <si>
    <t>Kennwert Kälte</t>
  </si>
  <si>
    <t>Kälte</t>
  </si>
  <si>
    <t>Kältebedarf</t>
  </si>
  <si>
    <t>Kälte
Gesamtbedarf</t>
  </si>
  <si>
    <t>Elektromobilität</t>
  </si>
  <si>
    <t>Bestandsgebäude</t>
  </si>
  <si>
    <t xml:space="preserve">Kältebedarf </t>
  </si>
  <si>
    <t>Nutzenergie</t>
  </si>
  <si>
    <t>SEER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</si>
</sst>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#,##0\ &quot;km/a&quot;"/>
    <numFmt numFmtId="165" formatCode="#,##0\ &quot;m&quot;"/>
    <numFmt numFmtId="166" formatCode="#,##0\ &quot;h/a&quot;"/>
    <numFmt numFmtId="167" formatCode="#,##0\ &quot;MW&quot;"/>
    <numFmt numFmtId="168" formatCode="#,##0\ &quot;m²&quot;"/>
    <numFmt numFmtId="169" formatCode="0.00\ &quot;kWh/km&quot;"/>
    <numFmt numFmtId="170" formatCode="#,##0\ &quot;kWh/a&quot;"/>
    <numFmt numFmtId="171" formatCode="#,##0\ &quot;W&quot;"/>
    <numFmt numFmtId="172" formatCode="#,##0\ &quot;%&quot;"/>
    <numFmt numFmtId="173" formatCode="#,##0\ &quot;MWh/a&quot;"/>
    <numFmt numFmtId="174" formatCode="#,##0\ &quot;kW&quot;"/>
    <numFmt numFmtId="175" formatCode="###0;###0"/>
    <numFmt numFmtId="176" formatCode="#,##0\ &quot;kWh/m²a&quot;"/>
    <numFmt numFmtId="177" formatCode="#,##0.0\ &quot;W/m²&quot;"/>
    <numFmt numFmtId="178" formatCode="#,##0.0"/>
    <numFmt numFmtId="179" formatCode="#,##0\ &quot;kWh/m²&quot;"/>
    <numFmt numFmtId="180" formatCode="#,##0.0\ &quot;kWh/m²&quot;"/>
    <numFmt numFmtId="181" formatCode="#,##0\ &quot;Stück&quot;"/>
    <numFmt numFmtId="184" formatCode="0\ &quot;kWh/m²&quot;"/>
  </numFmts>
  <fonts count="32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14"/>
      <color rgb="FF231F20"/>
      <name val="Verdana"/>
      <family val="2"/>
    </font>
    <font>
      <b/>
      <sz val="10"/>
      <color rgb="FF00B050"/>
      <name val="Verdana"/>
      <family val="2"/>
    </font>
    <font>
      <sz val="10"/>
      <color rgb="FF00B050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1"/>
      <color theme="0"/>
      <name val="Verdana"/>
      <family val="2"/>
    </font>
    <font>
      <sz val="11"/>
      <color rgb="FF000000"/>
      <name val="Verdana"/>
      <family val="2"/>
    </font>
    <font>
      <b/>
      <sz val="10"/>
      <color rgb="FF010202"/>
      <name val="Verdana"/>
      <family val="2"/>
    </font>
    <font>
      <sz val="10"/>
      <color rgb="FF010202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1"/>
      <color indexed="81"/>
      <name val="Segoe UI"/>
      <family val="2"/>
    </font>
    <font>
      <sz val="11"/>
      <color indexed="81"/>
      <name val="Segoe UI"/>
      <family val="2"/>
    </font>
    <font>
      <b/>
      <sz val="12"/>
      <color indexed="81"/>
      <name val="Segoe UI"/>
      <family val="2"/>
    </font>
    <font>
      <sz val="12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000000"/>
      <name val="Verdana"/>
      <family val="2"/>
    </font>
    <font>
      <b/>
      <sz val="11"/>
      <color rgb="FFFFFF00"/>
      <name val="Verdana"/>
      <family val="2"/>
    </font>
    <font>
      <sz val="10"/>
      <color rgb="FF7030A0"/>
      <name val="Verdana"/>
      <family val="2"/>
    </font>
    <font>
      <b/>
      <sz val="10"/>
      <color rgb="FF000000"/>
      <name val="Times New Roman"/>
      <family val="1"/>
    </font>
    <font>
      <sz val="12"/>
      <color rgb="FFFF0000"/>
      <name val="Verdana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0"/>
      <name val="Verdana"/>
      <family val="2"/>
    </font>
    <font>
      <b/>
      <sz val="14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7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center" vertical="top"/>
    </xf>
    <xf numFmtId="165" fontId="2" fillId="2" borderId="0" xfId="0" applyNumberFormat="1" applyFont="1" applyFill="1" applyBorder="1" applyAlignment="1">
      <alignment horizontal="center" vertical="top"/>
    </xf>
    <xf numFmtId="9" fontId="2" fillId="2" borderId="0" xfId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167" fontId="2" fillId="0" borderId="0" xfId="0" applyNumberFormat="1" applyFont="1" applyFill="1" applyBorder="1" applyAlignment="1">
      <alignment horizontal="left" vertical="center"/>
    </xf>
    <xf numFmtId="168" fontId="2" fillId="2" borderId="0" xfId="0" applyNumberFormat="1" applyFont="1" applyFill="1" applyBorder="1" applyAlignment="1">
      <alignment horizontal="center" vertical="top"/>
    </xf>
    <xf numFmtId="169" fontId="2" fillId="2" borderId="0" xfId="0" applyNumberFormat="1" applyFont="1" applyFill="1" applyBorder="1" applyAlignment="1">
      <alignment horizontal="center" vertical="top"/>
    </xf>
    <xf numFmtId="170" fontId="2" fillId="2" borderId="0" xfId="0" applyNumberFormat="1" applyFont="1" applyFill="1" applyBorder="1" applyAlignment="1">
      <alignment horizontal="center" vertical="top"/>
    </xf>
    <xf numFmtId="171" fontId="2" fillId="2" borderId="0" xfId="0" applyNumberFormat="1" applyFont="1" applyFill="1" applyBorder="1" applyAlignment="1">
      <alignment horizontal="center" vertical="top"/>
    </xf>
    <xf numFmtId="172" fontId="2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168" fontId="14" fillId="6" borderId="0" xfId="0" applyNumberFormat="1" applyFont="1" applyFill="1" applyBorder="1" applyAlignment="1">
      <alignment horizontal="right" vertical="center" wrapText="1"/>
    </xf>
    <xf numFmtId="168" fontId="14" fillId="2" borderId="0" xfId="0" applyNumberFormat="1" applyFont="1" applyFill="1" applyBorder="1" applyAlignment="1">
      <alignment horizontal="right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168" fontId="9" fillId="2" borderId="0" xfId="0" applyNumberFormat="1" applyFont="1" applyFill="1" applyBorder="1" applyAlignment="1">
      <alignment horizontal="right" vertical="center" wrapText="1"/>
    </xf>
    <xf numFmtId="173" fontId="14" fillId="6" borderId="0" xfId="0" applyNumberFormat="1" applyFont="1" applyFill="1" applyBorder="1" applyAlignment="1">
      <alignment horizontal="right" vertical="center" wrapText="1" indent="1"/>
    </xf>
    <xf numFmtId="168" fontId="14" fillId="2" borderId="0" xfId="0" applyNumberFormat="1" applyFont="1" applyFill="1" applyBorder="1" applyAlignment="1">
      <alignment horizontal="right" vertical="center" wrapText="1" indent="1"/>
    </xf>
    <xf numFmtId="174" fontId="14" fillId="6" borderId="0" xfId="0" applyNumberFormat="1" applyFont="1" applyFill="1" applyBorder="1" applyAlignment="1">
      <alignment horizontal="right" vertical="center" wrapText="1" indent="1"/>
    </xf>
    <xf numFmtId="3" fontId="14" fillId="6" borderId="0" xfId="0" applyNumberFormat="1" applyFont="1" applyFill="1" applyBorder="1" applyAlignment="1">
      <alignment horizontal="right" vertical="center" wrapText="1" indent="1"/>
    </xf>
    <xf numFmtId="174" fontId="14" fillId="2" borderId="0" xfId="0" applyNumberFormat="1" applyFont="1" applyFill="1" applyBorder="1" applyAlignment="1">
      <alignment horizontal="right" vertical="center" wrapText="1" indent="1"/>
    </xf>
    <xf numFmtId="168" fontId="12" fillId="9" borderId="0" xfId="0" applyNumberFormat="1" applyFont="1" applyFill="1" applyBorder="1" applyAlignment="1">
      <alignment horizontal="right" vertical="center" wrapText="1" indent="1"/>
    </xf>
    <xf numFmtId="0" fontId="2" fillId="9" borderId="0" xfId="0" applyFont="1" applyFill="1" applyBorder="1" applyAlignment="1">
      <alignment horizontal="center" vertical="center" wrapText="1"/>
    </xf>
    <xf numFmtId="168" fontId="12" fillId="2" borderId="0" xfId="0" applyNumberFormat="1" applyFont="1" applyFill="1" applyBorder="1" applyAlignment="1">
      <alignment horizontal="right" vertical="center" wrapText="1" indent="1"/>
    </xf>
    <xf numFmtId="3" fontId="12" fillId="9" borderId="0" xfId="0" applyNumberFormat="1" applyFont="1" applyFill="1" applyBorder="1" applyAlignment="1">
      <alignment horizontal="center" vertical="center" wrapText="1"/>
    </xf>
    <xf numFmtId="172" fontId="12" fillId="9" borderId="0" xfId="0" applyNumberFormat="1" applyFont="1" applyFill="1" applyBorder="1" applyAlignment="1">
      <alignment horizontal="center" vertical="center" wrapText="1"/>
    </xf>
    <xf numFmtId="3" fontId="12" fillId="9" borderId="0" xfId="0" applyNumberFormat="1" applyFont="1" applyFill="1" applyBorder="1" applyAlignment="1">
      <alignment horizontal="right" vertical="center" wrapText="1" indent="1"/>
    </xf>
    <xf numFmtId="3" fontId="9" fillId="2" borderId="0" xfId="0" applyNumberFormat="1" applyFont="1" applyFill="1" applyBorder="1" applyAlignment="1">
      <alignment horizontal="right" vertical="center" wrapText="1" indent="1"/>
    </xf>
    <xf numFmtId="3" fontId="12" fillId="2" borderId="0" xfId="0" applyNumberFormat="1" applyFont="1" applyFill="1" applyBorder="1" applyAlignment="1">
      <alignment horizontal="right" vertical="center" wrapText="1" indent="1"/>
    </xf>
    <xf numFmtId="170" fontId="12" fillId="9" borderId="0" xfId="0" applyNumberFormat="1" applyFont="1" applyFill="1" applyBorder="1" applyAlignment="1">
      <alignment horizontal="right" vertical="center" wrapText="1" indent="1"/>
    </xf>
    <xf numFmtId="174" fontId="12" fillId="9" borderId="0" xfId="0" applyNumberFormat="1" applyFont="1" applyFill="1" applyBorder="1" applyAlignment="1">
      <alignment horizontal="right" vertical="center" wrapText="1" indent="1"/>
    </xf>
    <xf numFmtId="174" fontId="12" fillId="2" borderId="0" xfId="0" applyNumberFormat="1" applyFont="1" applyFill="1" applyBorder="1" applyAlignment="1">
      <alignment horizontal="right" vertical="center" wrapText="1" indent="1"/>
    </xf>
    <xf numFmtId="0" fontId="4" fillId="7" borderId="0" xfId="0" applyFont="1" applyFill="1" applyBorder="1" applyAlignment="1">
      <alignment horizontal="left" vertical="top" wrapText="1"/>
    </xf>
    <xf numFmtId="175" fontId="13" fillId="7" borderId="0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/>
    </xf>
    <xf numFmtId="168" fontId="2" fillId="7" borderId="0" xfId="0" applyNumberFormat="1" applyFont="1" applyFill="1" applyBorder="1" applyAlignment="1">
      <alignment horizontal="right" vertical="center" wrapText="1" indent="1"/>
    </xf>
    <xf numFmtId="168" fontId="13" fillId="7" borderId="0" xfId="0" applyNumberFormat="1" applyFont="1" applyFill="1" applyBorder="1" applyAlignment="1">
      <alignment horizontal="right" vertical="center" wrapText="1" indent="1"/>
    </xf>
    <xf numFmtId="0" fontId="2" fillId="7" borderId="0" xfId="0" applyFont="1" applyFill="1" applyBorder="1" applyAlignment="1">
      <alignment horizontal="center" vertical="center" wrapText="1"/>
    </xf>
    <xf numFmtId="168" fontId="2" fillId="2" borderId="0" xfId="0" applyNumberFormat="1" applyFont="1" applyFill="1" applyBorder="1" applyAlignment="1">
      <alignment horizontal="right" vertical="center" wrapText="1" indent="1"/>
    </xf>
    <xf numFmtId="3" fontId="2" fillId="7" borderId="0" xfId="0" applyNumberFormat="1" applyFont="1" applyFill="1" applyBorder="1" applyAlignment="1">
      <alignment horizontal="center" vertical="center" wrapText="1"/>
    </xf>
    <xf numFmtId="9" fontId="2" fillId="7" borderId="0" xfId="1" applyFont="1" applyFill="1" applyBorder="1" applyAlignment="1">
      <alignment horizontal="center" vertical="center" wrapText="1"/>
    </xf>
    <xf numFmtId="3" fontId="13" fillId="7" borderId="0" xfId="0" applyNumberFormat="1" applyFont="1" applyFill="1" applyBorder="1" applyAlignment="1">
      <alignment horizontal="right" vertical="center" wrapText="1" indent="1"/>
    </xf>
    <xf numFmtId="3" fontId="3" fillId="2" borderId="0" xfId="0" applyNumberFormat="1" applyFont="1" applyFill="1" applyBorder="1" applyAlignment="1">
      <alignment horizontal="right" vertical="center" wrapText="1" indent="1"/>
    </xf>
    <xf numFmtId="3" fontId="13" fillId="2" borderId="0" xfId="0" applyNumberFormat="1" applyFont="1" applyFill="1" applyBorder="1" applyAlignment="1">
      <alignment horizontal="right" vertical="center" wrapText="1" indent="1"/>
    </xf>
    <xf numFmtId="172" fontId="2" fillId="7" borderId="0" xfId="0" applyNumberFormat="1" applyFont="1" applyFill="1" applyBorder="1" applyAlignment="1">
      <alignment horizontal="center" vertical="center" wrapText="1"/>
    </xf>
    <xf numFmtId="170" fontId="13" fillId="7" borderId="0" xfId="0" applyNumberFormat="1" applyFont="1" applyFill="1" applyBorder="1" applyAlignment="1">
      <alignment horizontal="right" vertical="center" wrapText="1" indent="1"/>
    </xf>
    <xf numFmtId="176" fontId="13" fillId="2" borderId="0" xfId="0" applyNumberFormat="1" applyFont="1" applyFill="1" applyBorder="1" applyAlignment="1">
      <alignment horizontal="right" vertical="center" wrapText="1" indent="1"/>
    </xf>
    <xf numFmtId="170" fontId="2" fillId="7" borderId="0" xfId="0" applyNumberFormat="1" applyFont="1" applyFill="1" applyBorder="1" applyAlignment="1">
      <alignment horizontal="right" vertical="center" indent="1"/>
    </xf>
    <xf numFmtId="174" fontId="2" fillId="7" borderId="0" xfId="0" applyNumberFormat="1" applyFont="1" applyFill="1" applyBorder="1" applyAlignment="1">
      <alignment horizontal="right" vertical="center" indent="1"/>
    </xf>
    <xf numFmtId="3" fontId="2" fillId="7" borderId="0" xfId="0" applyNumberFormat="1" applyFont="1" applyFill="1" applyBorder="1" applyAlignment="1">
      <alignment horizontal="right" vertical="center" indent="1"/>
    </xf>
    <xf numFmtId="174" fontId="2" fillId="2" borderId="0" xfId="0" applyNumberFormat="1" applyFont="1" applyFill="1" applyBorder="1" applyAlignment="1">
      <alignment horizontal="right" vertical="center" indent="1"/>
    </xf>
    <xf numFmtId="172" fontId="13" fillId="7" borderId="0" xfId="0" applyNumberFormat="1" applyFont="1" applyFill="1" applyBorder="1" applyAlignment="1">
      <alignment horizontal="center" vertical="center" wrapText="1"/>
    </xf>
    <xf numFmtId="168" fontId="13" fillId="2" borderId="0" xfId="0" applyNumberFormat="1" applyFont="1" applyFill="1" applyBorder="1" applyAlignment="1">
      <alignment horizontal="right" vertical="center" wrapText="1" indent="1"/>
    </xf>
    <xf numFmtId="0" fontId="4" fillId="2" borderId="0" xfId="0" applyFont="1" applyFill="1" applyBorder="1" applyAlignment="1">
      <alignment horizontal="left" vertical="top" wrapText="1"/>
    </xf>
    <xf numFmtId="175" fontId="13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172" fontId="13" fillId="2" borderId="0" xfId="0" applyNumberFormat="1" applyFont="1" applyFill="1" applyBorder="1" applyAlignment="1">
      <alignment horizontal="center" vertical="center" wrapText="1"/>
    </xf>
    <xf numFmtId="170" fontId="13" fillId="2" borderId="0" xfId="0" applyNumberFormat="1" applyFont="1" applyFill="1" applyBorder="1" applyAlignment="1">
      <alignment horizontal="right" vertical="center" wrapText="1" indent="1"/>
    </xf>
    <xf numFmtId="170" fontId="2" fillId="2" borderId="0" xfId="0" applyNumberFormat="1" applyFont="1" applyFill="1" applyBorder="1" applyAlignment="1">
      <alignment horizontal="right" vertical="center" indent="1"/>
    </xf>
    <xf numFmtId="3" fontId="2" fillId="2" borderId="0" xfId="0" applyNumberFormat="1" applyFont="1" applyFill="1" applyBorder="1" applyAlignment="1">
      <alignment horizontal="right" vertical="center" indent="1"/>
    </xf>
    <xf numFmtId="0" fontId="16" fillId="2" borderId="0" xfId="0" applyFont="1" applyFill="1" applyBorder="1" applyAlignment="1">
      <alignment horizontal="left" vertical="top"/>
    </xf>
    <xf numFmtId="168" fontId="12" fillId="10" borderId="0" xfId="0" applyNumberFormat="1" applyFont="1" applyFill="1" applyBorder="1" applyAlignment="1">
      <alignment horizontal="right" vertical="center" wrapText="1" indent="1"/>
    </xf>
    <xf numFmtId="0" fontId="16" fillId="10" borderId="0" xfId="0" applyFont="1" applyFill="1" applyBorder="1" applyAlignment="1">
      <alignment horizontal="center" vertical="center" wrapText="1"/>
    </xf>
    <xf numFmtId="3" fontId="12" fillId="10" borderId="0" xfId="0" applyNumberFormat="1" applyFont="1" applyFill="1" applyBorder="1" applyAlignment="1">
      <alignment horizontal="center" vertical="center" wrapText="1"/>
    </xf>
    <xf numFmtId="172" fontId="12" fillId="10" borderId="0" xfId="0" applyNumberFormat="1" applyFont="1" applyFill="1" applyBorder="1" applyAlignment="1">
      <alignment horizontal="center" vertical="center" wrapText="1"/>
    </xf>
    <xf numFmtId="3" fontId="12" fillId="10" borderId="0" xfId="0" applyNumberFormat="1" applyFont="1" applyFill="1" applyBorder="1" applyAlignment="1">
      <alignment horizontal="right" vertical="center" wrapText="1" indent="1"/>
    </xf>
    <xf numFmtId="176" fontId="12" fillId="2" borderId="0" xfId="0" applyNumberFormat="1" applyFont="1" applyFill="1" applyBorder="1" applyAlignment="1">
      <alignment horizontal="right" vertical="center" wrapText="1" indent="1"/>
    </xf>
    <xf numFmtId="170" fontId="12" fillId="10" borderId="0" xfId="0" applyNumberFormat="1" applyFont="1" applyFill="1" applyBorder="1" applyAlignment="1">
      <alignment horizontal="right" vertical="center" wrapText="1" indent="1"/>
    </xf>
    <xf numFmtId="174" fontId="12" fillId="10" borderId="0" xfId="0" applyNumberFormat="1" applyFont="1" applyFill="1" applyBorder="1" applyAlignment="1">
      <alignment horizontal="right" vertical="center" wrapText="1" indent="1"/>
    </xf>
    <xf numFmtId="0" fontId="4" fillId="8" borderId="0" xfId="0" applyFont="1" applyFill="1" applyBorder="1" applyAlignment="1">
      <alignment horizontal="left" vertical="top" wrapText="1"/>
    </xf>
    <xf numFmtId="175" fontId="13" fillId="8" borderId="0" xfId="0" applyNumberFormat="1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/>
    </xf>
    <xf numFmtId="168" fontId="2" fillId="8" borderId="0" xfId="0" applyNumberFormat="1" applyFont="1" applyFill="1" applyBorder="1" applyAlignment="1">
      <alignment horizontal="right" vertical="center" wrapText="1" indent="1"/>
    </xf>
    <xf numFmtId="0" fontId="2" fillId="8" borderId="0" xfId="0" applyFont="1" applyFill="1" applyBorder="1" applyAlignment="1">
      <alignment horizontal="center" vertical="center" wrapText="1"/>
    </xf>
    <xf numFmtId="168" fontId="13" fillId="8" borderId="0" xfId="0" applyNumberFormat="1" applyFont="1" applyFill="1" applyBorder="1" applyAlignment="1">
      <alignment horizontal="right" vertical="center" wrapText="1" indent="1"/>
    </xf>
    <xf numFmtId="3" fontId="13" fillId="8" borderId="0" xfId="0" applyNumberFormat="1" applyFont="1" applyFill="1" applyBorder="1" applyAlignment="1">
      <alignment horizontal="right" vertical="center" wrapText="1" indent="1"/>
    </xf>
    <xf numFmtId="172" fontId="13" fillId="8" borderId="0" xfId="0" applyNumberFormat="1" applyFont="1" applyFill="1" applyBorder="1" applyAlignment="1">
      <alignment horizontal="center" vertical="center" wrapText="1"/>
    </xf>
    <xf numFmtId="170" fontId="13" fillId="8" borderId="0" xfId="0" applyNumberFormat="1" applyFont="1" applyFill="1" applyBorder="1" applyAlignment="1">
      <alignment horizontal="right" vertical="center" wrapText="1" indent="1"/>
    </xf>
    <xf numFmtId="170" fontId="2" fillId="8" borderId="0" xfId="0" applyNumberFormat="1" applyFont="1" applyFill="1" applyBorder="1" applyAlignment="1">
      <alignment horizontal="right" vertical="center" indent="1"/>
    </xf>
    <xf numFmtId="174" fontId="2" fillId="8" borderId="0" xfId="0" applyNumberFormat="1" applyFont="1" applyFill="1" applyBorder="1" applyAlignment="1">
      <alignment horizontal="right" vertical="center" indent="1"/>
    </xf>
    <xf numFmtId="3" fontId="2" fillId="8" borderId="0" xfId="0" applyNumberFormat="1" applyFont="1" applyFill="1" applyBorder="1" applyAlignment="1">
      <alignment horizontal="right" vertical="center" indent="1"/>
    </xf>
    <xf numFmtId="0" fontId="7" fillId="8" borderId="0" xfId="0" applyFont="1" applyFill="1" applyBorder="1" applyAlignment="1">
      <alignment horizontal="right" vertical="top" wrapText="1"/>
    </xf>
    <xf numFmtId="175" fontId="7" fillId="8" borderId="0" xfId="0" applyNumberFormat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168" fontId="7" fillId="8" borderId="0" xfId="0" applyNumberFormat="1" applyFont="1" applyFill="1" applyBorder="1" applyAlignment="1">
      <alignment horizontal="right" vertical="center" wrapText="1" indent="1"/>
    </xf>
    <xf numFmtId="0" fontId="7" fillId="8" borderId="0" xfId="0" applyFont="1" applyFill="1" applyBorder="1" applyAlignment="1">
      <alignment horizontal="center" vertical="center" wrapText="1"/>
    </xf>
    <xf numFmtId="168" fontId="7" fillId="2" borderId="0" xfId="0" applyNumberFormat="1" applyFont="1" applyFill="1" applyBorder="1" applyAlignment="1">
      <alignment horizontal="right" vertical="center" wrapText="1" indent="1"/>
    </xf>
    <xf numFmtId="3" fontId="7" fillId="7" borderId="0" xfId="0" applyNumberFormat="1" applyFont="1" applyFill="1" applyBorder="1" applyAlignment="1">
      <alignment horizontal="center" vertical="center" wrapText="1"/>
    </xf>
    <xf numFmtId="3" fontId="7" fillId="8" borderId="0" xfId="0" applyNumberFormat="1" applyFont="1" applyFill="1" applyBorder="1" applyAlignment="1">
      <alignment horizontal="right" vertical="center" wrapText="1" indent="1"/>
    </xf>
    <xf numFmtId="3" fontId="7" fillId="2" borderId="0" xfId="0" applyNumberFormat="1" applyFont="1" applyFill="1" applyBorder="1" applyAlignment="1">
      <alignment horizontal="right" vertical="center" wrapText="1" indent="1"/>
    </xf>
    <xf numFmtId="172" fontId="7" fillId="8" borderId="0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right" vertical="center" wrapText="1" indent="1"/>
    </xf>
    <xf numFmtId="170" fontId="7" fillId="8" borderId="0" xfId="0" applyNumberFormat="1" applyFont="1" applyFill="1" applyBorder="1" applyAlignment="1">
      <alignment horizontal="right" vertical="center" wrapText="1" indent="1"/>
    </xf>
    <xf numFmtId="170" fontId="7" fillId="8" borderId="0" xfId="0" applyNumberFormat="1" applyFont="1" applyFill="1" applyBorder="1" applyAlignment="1">
      <alignment horizontal="right" vertical="center" indent="1"/>
    </xf>
    <xf numFmtId="174" fontId="7" fillId="8" borderId="0" xfId="0" applyNumberFormat="1" applyFont="1" applyFill="1" applyBorder="1" applyAlignment="1">
      <alignment horizontal="right" vertical="center" indent="1"/>
    </xf>
    <xf numFmtId="3" fontId="7" fillId="8" borderId="0" xfId="0" applyNumberFormat="1" applyFont="1" applyFill="1" applyBorder="1" applyAlignment="1">
      <alignment horizontal="right" vertical="center" indent="1"/>
    </xf>
    <xf numFmtId="174" fontId="7" fillId="2" borderId="0" xfId="0" applyNumberFormat="1" applyFont="1" applyFill="1" applyBorder="1" applyAlignment="1">
      <alignment horizontal="right" vertical="center" indent="1"/>
    </xf>
    <xf numFmtId="0" fontId="16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172" fontId="2" fillId="8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right" vertical="top" wrapText="1"/>
    </xf>
    <xf numFmtId="175" fontId="7" fillId="7" borderId="0" xfId="0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/>
    </xf>
    <xf numFmtId="168" fontId="7" fillId="7" borderId="0" xfId="0" applyNumberFormat="1" applyFont="1" applyFill="1" applyBorder="1" applyAlignment="1">
      <alignment horizontal="right" vertical="center" wrapText="1" indent="1"/>
    </xf>
    <xf numFmtId="0" fontId="7" fillId="7" borderId="0" xfId="0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horizontal="right" vertical="center" wrapText="1" indent="1"/>
    </xf>
    <xf numFmtId="170" fontId="7" fillId="7" borderId="0" xfId="0" applyNumberFormat="1" applyFont="1" applyFill="1" applyBorder="1" applyAlignment="1">
      <alignment horizontal="right" vertical="center" wrapText="1" indent="1"/>
    </xf>
    <xf numFmtId="170" fontId="7" fillId="7" borderId="0" xfId="0" applyNumberFormat="1" applyFont="1" applyFill="1" applyBorder="1" applyAlignment="1">
      <alignment horizontal="right" vertical="center" indent="1"/>
    </xf>
    <xf numFmtId="174" fontId="7" fillId="7" borderId="0" xfId="0" applyNumberFormat="1" applyFont="1" applyFill="1" applyBorder="1" applyAlignment="1">
      <alignment horizontal="right" vertical="center" indent="1"/>
    </xf>
    <xf numFmtId="3" fontId="7" fillId="7" borderId="0" xfId="0" applyNumberFormat="1" applyFont="1" applyFill="1" applyBorder="1" applyAlignment="1">
      <alignment horizontal="right" vertical="center" indent="1"/>
    </xf>
    <xf numFmtId="175" fontId="3" fillId="7" borderId="0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/>
    </xf>
    <xf numFmtId="168" fontId="3" fillId="7" borderId="0" xfId="0" applyNumberFormat="1" applyFont="1" applyFill="1" applyBorder="1" applyAlignment="1">
      <alignment horizontal="right" vertical="center" wrapText="1" indent="1"/>
    </xf>
    <xf numFmtId="0" fontId="3" fillId="7" borderId="0" xfId="0" applyFont="1" applyFill="1" applyBorder="1" applyAlignment="1">
      <alignment horizontal="center" vertical="center" wrapText="1"/>
    </xf>
    <xf numFmtId="168" fontId="3" fillId="2" borderId="0" xfId="0" applyNumberFormat="1" applyFont="1" applyFill="1" applyBorder="1" applyAlignment="1">
      <alignment horizontal="right" vertical="center" wrapText="1" indent="1"/>
    </xf>
    <xf numFmtId="3" fontId="3" fillId="7" borderId="0" xfId="0" applyNumberFormat="1" applyFont="1" applyFill="1" applyBorder="1" applyAlignment="1">
      <alignment horizontal="center" vertical="center" wrapText="1"/>
    </xf>
    <xf numFmtId="3" fontId="3" fillId="7" borderId="0" xfId="0" applyNumberFormat="1" applyFont="1" applyFill="1" applyBorder="1" applyAlignment="1">
      <alignment horizontal="right" vertical="center" wrapText="1" indent="1"/>
    </xf>
    <xf numFmtId="170" fontId="3" fillId="7" borderId="0" xfId="0" applyNumberFormat="1" applyFont="1" applyFill="1" applyBorder="1" applyAlignment="1">
      <alignment horizontal="right" vertical="center" wrapText="1" indent="1"/>
    </xf>
    <xf numFmtId="170" fontId="3" fillId="7" borderId="0" xfId="0" applyNumberFormat="1" applyFont="1" applyFill="1" applyBorder="1" applyAlignment="1">
      <alignment horizontal="right" vertical="center" indent="1"/>
    </xf>
    <xf numFmtId="174" fontId="3" fillId="7" borderId="0" xfId="0" applyNumberFormat="1" applyFont="1" applyFill="1" applyBorder="1" applyAlignment="1">
      <alignment horizontal="right" vertical="center" indent="1"/>
    </xf>
    <xf numFmtId="3" fontId="3" fillId="7" borderId="0" xfId="0" applyNumberFormat="1" applyFont="1" applyFill="1" applyBorder="1" applyAlignment="1">
      <alignment horizontal="right" vertical="center" indent="1"/>
    </xf>
    <xf numFmtId="174" fontId="3" fillId="2" borderId="0" xfId="0" applyNumberFormat="1" applyFont="1" applyFill="1" applyBorder="1" applyAlignment="1">
      <alignment horizontal="right" vertical="center" indent="1"/>
    </xf>
    <xf numFmtId="3" fontId="13" fillId="10" borderId="0" xfId="0" applyNumberFormat="1" applyFont="1" applyFill="1" applyBorder="1" applyAlignment="1">
      <alignment horizontal="right" vertical="center" wrapText="1" indent="1"/>
    </xf>
    <xf numFmtId="172" fontId="13" fillId="10" borderId="0" xfId="0" applyNumberFormat="1" applyFont="1" applyFill="1" applyBorder="1" applyAlignment="1">
      <alignment horizontal="center" vertical="center" wrapText="1"/>
    </xf>
    <xf numFmtId="168" fontId="13" fillId="10" borderId="0" xfId="0" applyNumberFormat="1" applyFont="1" applyFill="1" applyBorder="1" applyAlignment="1">
      <alignment horizontal="right" vertical="center" wrapText="1" indent="1"/>
    </xf>
    <xf numFmtId="0" fontId="3" fillId="8" borderId="0" xfId="0" applyFont="1" applyFill="1" applyBorder="1" applyAlignment="1">
      <alignment horizontal="left" vertical="top" wrapText="1"/>
    </xf>
    <xf numFmtId="175" fontId="3" fillId="8" borderId="0" xfId="0" applyNumberFormat="1" applyFont="1" applyFill="1" applyBorder="1" applyAlignment="1">
      <alignment horizontal="center" vertical="center" wrapText="1"/>
    </xf>
    <xf numFmtId="168" fontId="3" fillId="8" borderId="0" xfId="0" applyNumberFormat="1" applyFont="1" applyFill="1" applyBorder="1" applyAlignment="1">
      <alignment horizontal="right" vertical="center" wrapText="1" indent="1"/>
    </xf>
    <xf numFmtId="0" fontId="3" fillId="8" borderId="0" xfId="0" applyFont="1" applyFill="1" applyBorder="1" applyAlignment="1">
      <alignment horizontal="center" vertical="center" wrapText="1"/>
    </xf>
    <xf numFmtId="3" fontId="3" fillId="8" borderId="0" xfId="0" applyNumberFormat="1" applyFont="1" applyFill="1" applyBorder="1" applyAlignment="1">
      <alignment horizontal="right" vertical="center" wrapText="1" indent="1"/>
    </xf>
    <xf numFmtId="172" fontId="3" fillId="8" borderId="0" xfId="0" applyNumberFormat="1" applyFont="1" applyFill="1" applyBorder="1" applyAlignment="1">
      <alignment horizontal="center" vertical="center" wrapText="1"/>
    </xf>
    <xf numFmtId="170" fontId="3" fillId="8" borderId="0" xfId="0" applyNumberFormat="1" applyFont="1" applyFill="1" applyBorder="1" applyAlignment="1">
      <alignment horizontal="right" vertical="center" wrapText="1" indent="1"/>
    </xf>
    <xf numFmtId="170" fontId="3" fillId="8" borderId="0" xfId="0" applyNumberFormat="1" applyFont="1" applyFill="1" applyBorder="1" applyAlignment="1">
      <alignment horizontal="right" vertical="center" indent="1"/>
    </xf>
    <xf numFmtId="174" fontId="3" fillId="8" borderId="0" xfId="0" applyNumberFormat="1" applyFont="1" applyFill="1" applyBorder="1" applyAlignment="1">
      <alignment horizontal="right" vertical="center" indent="1"/>
    </xf>
    <xf numFmtId="3" fontId="3" fillId="8" borderId="0" xfId="0" applyNumberFormat="1" applyFont="1" applyFill="1" applyBorder="1" applyAlignment="1">
      <alignment horizontal="right" vertical="center" indent="1"/>
    </xf>
    <xf numFmtId="176" fontId="3" fillId="2" borderId="0" xfId="0" applyNumberFormat="1" applyFont="1" applyFill="1" applyBorder="1" applyAlignment="1">
      <alignment horizontal="right" vertical="center" wrapText="1" indent="1"/>
    </xf>
    <xf numFmtId="0" fontId="4" fillId="7" borderId="0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168" fontId="12" fillId="2" borderId="0" xfId="0" applyNumberFormat="1" applyFont="1" applyFill="1" applyBorder="1" applyAlignment="1">
      <alignment horizontal="center" vertical="center" wrapText="1"/>
    </xf>
    <xf numFmtId="172" fontId="2" fillId="2" borderId="0" xfId="0" applyNumberFormat="1" applyFont="1" applyFill="1" applyBorder="1" applyAlignment="1">
      <alignment horizontal="center" vertical="center" wrapText="1"/>
    </xf>
    <xf numFmtId="170" fontId="16" fillId="2" borderId="0" xfId="0" applyNumberFormat="1" applyFont="1" applyFill="1" applyBorder="1" applyAlignment="1">
      <alignment horizontal="right" vertical="top" indent="1"/>
    </xf>
    <xf numFmtId="168" fontId="13" fillId="2" borderId="0" xfId="0" applyNumberFormat="1" applyFont="1" applyFill="1" applyBorder="1" applyAlignment="1">
      <alignment horizontal="center" vertical="center" wrapText="1"/>
    </xf>
    <xf numFmtId="168" fontId="9" fillId="2" borderId="0" xfId="0" applyNumberFormat="1" applyFont="1" applyFill="1" applyBorder="1" applyAlignment="1">
      <alignment horizontal="right" vertical="center" wrapText="1" indent="1"/>
    </xf>
    <xf numFmtId="3" fontId="0" fillId="0" borderId="0" xfId="0" applyNumberFormat="1"/>
    <xf numFmtId="9" fontId="2" fillId="0" borderId="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173" fontId="0" fillId="0" borderId="0" xfId="0" applyNumberFormat="1"/>
    <xf numFmtId="168" fontId="0" fillId="0" borderId="0" xfId="0" applyNumberFormat="1"/>
    <xf numFmtId="178" fontId="12" fillId="9" borderId="0" xfId="0" applyNumberFormat="1" applyFont="1" applyFill="1" applyBorder="1" applyAlignment="1">
      <alignment horizontal="right" vertical="center" wrapText="1" indent="1"/>
    </xf>
    <xf numFmtId="170" fontId="2" fillId="0" borderId="0" xfId="0" applyNumberFormat="1" applyFont="1" applyFill="1" applyBorder="1" applyAlignment="1">
      <alignment horizontal="left" vertical="top"/>
    </xf>
    <xf numFmtId="173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77" fontId="2" fillId="2" borderId="0" xfId="0" applyNumberFormat="1" applyFont="1" applyFill="1" applyBorder="1" applyAlignment="1">
      <alignment horizontal="center" vertical="top"/>
    </xf>
    <xf numFmtId="9" fontId="2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3" fontId="2" fillId="8" borderId="0" xfId="0" applyNumberFormat="1" applyFont="1" applyFill="1" applyBorder="1" applyAlignment="1">
      <alignment horizontal="center" vertical="center" wrapText="1"/>
    </xf>
    <xf numFmtId="3" fontId="7" fillId="8" borderId="0" xfId="0" applyNumberFormat="1" applyFont="1" applyFill="1" applyBorder="1" applyAlignment="1">
      <alignment horizontal="center" vertical="center" wrapText="1"/>
    </xf>
    <xf numFmtId="3" fontId="3" fillId="8" borderId="0" xfId="0" applyNumberFormat="1" applyFont="1" applyFill="1" applyBorder="1" applyAlignment="1">
      <alignment horizontal="center" vertical="center" wrapText="1"/>
    </xf>
    <xf numFmtId="4" fontId="2" fillId="8" borderId="0" xfId="0" applyNumberFormat="1" applyFont="1" applyFill="1" applyBorder="1" applyAlignment="1">
      <alignment horizontal="center" vertical="center" wrapText="1"/>
    </xf>
    <xf numFmtId="4" fontId="4" fillId="7" borderId="0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4" fontId="12" fillId="10" borderId="0" xfId="0" applyNumberFormat="1" applyFont="1" applyFill="1" applyBorder="1" applyAlignment="1">
      <alignment horizontal="right" vertical="center" wrapText="1" indent="1"/>
    </xf>
    <xf numFmtId="4" fontId="12" fillId="9" borderId="0" xfId="0" applyNumberFormat="1" applyFont="1" applyFill="1" applyBorder="1" applyAlignment="1">
      <alignment horizontal="right" vertical="center" wrapText="1" indent="1"/>
    </xf>
    <xf numFmtId="4" fontId="16" fillId="12" borderId="0" xfId="0" applyNumberFormat="1" applyFont="1" applyFill="1" applyBorder="1" applyAlignment="1">
      <alignment horizontal="center" vertical="center" wrapText="1"/>
    </xf>
    <xf numFmtId="4" fontId="14" fillId="6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horizontal="center" vertical="center"/>
    </xf>
    <xf numFmtId="4" fontId="3" fillId="8" borderId="0" xfId="0" applyNumberFormat="1" applyFont="1" applyFill="1" applyBorder="1" applyAlignment="1">
      <alignment horizontal="center" vertical="center" wrapText="1"/>
    </xf>
    <xf numFmtId="4" fontId="3" fillId="7" borderId="0" xfId="0" applyNumberFormat="1" applyFont="1" applyFill="1" applyBorder="1" applyAlignment="1">
      <alignment horizontal="center" vertical="center" wrapText="1"/>
    </xf>
    <xf numFmtId="4" fontId="7" fillId="8" borderId="0" xfId="0" applyNumberFormat="1" applyFont="1" applyFill="1" applyBorder="1" applyAlignment="1">
      <alignment horizontal="center" vertical="center" wrapText="1"/>
    </xf>
    <xf numFmtId="4" fontId="7" fillId="7" borderId="0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right" vertical="top" wrapText="1"/>
    </xf>
    <xf numFmtId="179" fontId="14" fillId="6" borderId="0" xfId="0" applyNumberFormat="1" applyFont="1" applyFill="1" applyBorder="1" applyAlignment="1">
      <alignment horizontal="right" vertical="center" wrapText="1"/>
    </xf>
    <xf numFmtId="180" fontId="14" fillId="6" borderId="0" xfId="0" applyNumberFormat="1" applyFont="1" applyFill="1" applyBorder="1" applyAlignment="1">
      <alignment horizontal="right" vertical="center" wrapText="1"/>
    </xf>
    <xf numFmtId="178" fontId="13" fillId="8" borderId="0" xfId="0" applyNumberFormat="1" applyFont="1" applyFill="1" applyBorder="1" applyAlignment="1">
      <alignment horizontal="right" vertical="center" wrapText="1" indent="1"/>
    </xf>
    <xf numFmtId="178" fontId="7" fillId="8" borderId="0" xfId="0" applyNumberFormat="1" applyFont="1" applyFill="1" applyBorder="1" applyAlignment="1">
      <alignment horizontal="right" vertical="center" wrapText="1" indent="1"/>
    </xf>
    <xf numFmtId="178" fontId="3" fillId="8" borderId="0" xfId="0" applyNumberFormat="1" applyFont="1" applyFill="1" applyBorder="1" applyAlignment="1">
      <alignment horizontal="right" vertical="center" wrapText="1" indent="1"/>
    </xf>
    <xf numFmtId="178" fontId="13" fillId="2" borderId="0" xfId="0" applyNumberFormat="1" applyFont="1" applyFill="1" applyBorder="1" applyAlignment="1">
      <alignment horizontal="right" vertical="center" wrapText="1" indent="1"/>
    </xf>
    <xf numFmtId="178" fontId="7" fillId="7" borderId="0" xfId="0" applyNumberFormat="1" applyFont="1" applyFill="1" applyBorder="1" applyAlignment="1">
      <alignment horizontal="right" vertical="center" wrapText="1" indent="1"/>
    </xf>
    <xf numFmtId="178" fontId="3" fillId="7" borderId="0" xfId="0" applyNumberFormat="1" applyFont="1" applyFill="1" applyBorder="1" applyAlignment="1">
      <alignment horizontal="right" vertical="center" wrapText="1" indent="1"/>
    </xf>
    <xf numFmtId="178" fontId="13" fillId="7" borderId="0" xfId="0" applyNumberFormat="1" applyFont="1" applyFill="1" applyBorder="1" applyAlignment="1">
      <alignment horizontal="right" vertical="center" wrapText="1" indent="1"/>
    </xf>
    <xf numFmtId="178" fontId="12" fillId="10" borderId="0" xfId="0" applyNumberFormat="1" applyFont="1" applyFill="1" applyBorder="1" applyAlignment="1">
      <alignment horizontal="right" vertical="center" wrapText="1" indent="1"/>
    </xf>
    <xf numFmtId="178" fontId="12" fillId="2" borderId="0" xfId="0" applyNumberFormat="1" applyFont="1" applyFill="1" applyBorder="1" applyAlignment="1">
      <alignment horizontal="right" vertical="center" wrapText="1" indent="1"/>
    </xf>
    <xf numFmtId="174" fontId="2" fillId="2" borderId="0" xfId="0" applyNumberFormat="1" applyFont="1" applyFill="1" applyBorder="1" applyAlignment="1">
      <alignment horizontal="right" vertical="top" indent="1"/>
    </xf>
    <xf numFmtId="174" fontId="2" fillId="8" borderId="0" xfId="0" applyNumberFormat="1" applyFont="1" applyFill="1" applyBorder="1" applyAlignment="1">
      <alignment horizontal="right" vertical="top" indent="1"/>
    </xf>
    <xf numFmtId="174" fontId="7" fillId="8" borderId="0" xfId="0" applyNumberFormat="1" applyFont="1" applyFill="1" applyBorder="1" applyAlignment="1">
      <alignment horizontal="right" vertical="top" indent="1"/>
    </xf>
    <xf numFmtId="174" fontId="7" fillId="7" borderId="0" xfId="0" applyNumberFormat="1" applyFont="1" applyFill="1" applyBorder="1" applyAlignment="1">
      <alignment horizontal="right" vertical="top" indent="1"/>
    </xf>
    <xf numFmtId="174" fontId="3" fillId="7" borderId="0" xfId="0" applyNumberFormat="1" applyFont="1" applyFill="1" applyBorder="1" applyAlignment="1">
      <alignment horizontal="right" vertical="top" indent="1"/>
    </xf>
    <xf numFmtId="174" fontId="2" fillId="7" borderId="0" xfId="0" applyNumberFormat="1" applyFont="1" applyFill="1" applyBorder="1" applyAlignment="1">
      <alignment horizontal="right" vertical="top" indent="1"/>
    </xf>
    <xf numFmtId="174" fontId="3" fillId="8" borderId="0" xfId="0" applyNumberFormat="1" applyFont="1" applyFill="1" applyBorder="1" applyAlignment="1">
      <alignment horizontal="right" vertical="top" indent="1"/>
    </xf>
    <xf numFmtId="0" fontId="16" fillId="0" borderId="0" xfId="0" applyFont="1" applyFill="1" applyBorder="1" applyAlignment="1">
      <alignment horizontal="left" vertical="center"/>
    </xf>
    <xf numFmtId="168" fontId="16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top"/>
    </xf>
    <xf numFmtId="0" fontId="0" fillId="0" borderId="0" xfId="0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 wrapText="1"/>
    </xf>
    <xf numFmtId="168" fontId="26" fillId="0" borderId="0" xfId="0" applyNumberFormat="1" applyFont="1" applyAlignment="1">
      <alignment horizontal="center"/>
    </xf>
    <xf numFmtId="173" fontId="26" fillId="0" borderId="0" xfId="0" applyNumberFormat="1" applyFont="1" applyAlignment="1">
      <alignment horizontal="center"/>
    </xf>
    <xf numFmtId="0" fontId="10" fillId="6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0" xfId="0" applyFont="1"/>
    <xf numFmtId="168" fontId="29" fillId="0" borderId="0" xfId="0" applyNumberFormat="1" applyFont="1" applyAlignment="1">
      <alignment horizontal="center"/>
    </xf>
    <xf numFmtId="0" fontId="28" fillId="6" borderId="1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49" fontId="28" fillId="6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8" fillId="6" borderId="4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49" fontId="28" fillId="6" borderId="5" xfId="0" applyNumberFormat="1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49" fontId="28" fillId="6" borderId="6" xfId="0" applyNumberFormat="1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 wrapText="1"/>
    </xf>
    <xf numFmtId="168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168" fontId="28" fillId="6" borderId="6" xfId="1" applyNumberFormat="1" applyFont="1" applyFill="1" applyBorder="1" applyAlignment="1">
      <alignment horizontal="center" vertical="center"/>
    </xf>
    <xf numFmtId="168" fontId="28" fillId="6" borderId="6" xfId="0" applyNumberFormat="1" applyFont="1" applyFill="1" applyBorder="1" applyAlignment="1">
      <alignment horizontal="center" vertical="center"/>
    </xf>
    <xf numFmtId="3" fontId="28" fillId="6" borderId="6" xfId="0" applyNumberFormat="1" applyFont="1" applyFill="1" applyBorder="1" applyAlignment="1">
      <alignment horizontal="center" vertical="center"/>
    </xf>
    <xf numFmtId="179" fontId="14" fillId="6" borderId="0" xfId="0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179" fontId="14" fillId="6" borderId="6" xfId="0" applyNumberFormat="1" applyFont="1" applyFill="1" applyBorder="1" applyAlignment="1">
      <alignment horizontal="center" vertical="center" wrapText="1"/>
    </xf>
    <xf numFmtId="179" fontId="29" fillId="0" borderId="0" xfId="0" applyNumberFormat="1" applyFont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173" fontId="30" fillId="6" borderId="7" xfId="0" applyNumberFormat="1" applyFont="1" applyFill="1" applyBorder="1" applyAlignment="1">
      <alignment horizontal="center" vertical="center" wrapText="1"/>
    </xf>
    <xf numFmtId="173" fontId="29" fillId="0" borderId="0" xfId="0" applyNumberFormat="1" applyFont="1" applyAlignment="1">
      <alignment horizontal="center"/>
    </xf>
    <xf numFmtId="0" fontId="29" fillId="13" borderId="0" xfId="0" applyFont="1" applyFill="1" applyAlignment="1">
      <alignment horizontal="center"/>
    </xf>
    <xf numFmtId="49" fontId="29" fillId="13" borderId="0" xfId="0" applyNumberFormat="1" applyFont="1" applyFill="1" applyAlignment="1">
      <alignment horizontal="center"/>
    </xf>
    <xf numFmtId="168" fontId="29" fillId="13" borderId="0" xfId="0" applyNumberFormat="1" applyFont="1" applyFill="1" applyAlignment="1">
      <alignment horizontal="center"/>
    </xf>
    <xf numFmtId="168" fontId="29" fillId="13" borderId="0" xfId="0" applyNumberFormat="1" applyFont="1" applyFill="1" applyAlignment="1">
      <alignment horizontal="center" vertical="center"/>
    </xf>
    <xf numFmtId="3" fontId="29" fillId="13" borderId="0" xfId="0" applyNumberFormat="1" applyFont="1" applyFill="1" applyAlignment="1">
      <alignment horizontal="center" vertical="center"/>
    </xf>
    <xf numFmtId="179" fontId="29" fillId="13" borderId="0" xfId="0" applyNumberFormat="1" applyFont="1" applyFill="1" applyAlignment="1">
      <alignment horizontal="center"/>
    </xf>
    <xf numFmtId="0" fontId="29" fillId="13" borderId="0" xfId="0" applyFont="1" applyFill="1"/>
    <xf numFmtId="173" fontId="29" fillId="13" borderId="0" xfId="0" applyNumberFormat="1" applyFont="1" applyFill="1" applyAlignment="1">
      <alignment horizontal="center"/>
    </xf>
    <xf numFmtId="0" fontId="29" fillId="14" borderId="0" xfId="0" applyFont="1" applyFill="1" applyAlignment="1">
      <alignment horizontal="center"/>
    </xf>
    <xf numFmtId="49" fontId="29" fillId="14" borderId="0" xfId="0" applyNumberFormat="1" applyFont="1" applyFill="1" applyAlignment="1">
      <alignment horizontal="center"/>
    </xf>
    <xf numFmtId="168" fontId="29" fillId="14" borderId="0" xfId="0" applyNumberFormat="1" applyFont="1" applyFill="1" applyAlignment="1">
      <alignment horizontal="center"/>
    </xf>
    <xf numFmtId="168" fontId="29" fillId="14" borderId="0" xfId="0" applyNumberFormat="1" applyFont="1" applyFill="1" applyAlignment="1">
      <alignment horizontal="center" vertical="center"/>
    </xf>
    <xf numFmtId="3" fontId="29" fillId="14" borderId="0" xfId="0" applyNumberFormat="1" applyFont="1" applyFill="1" applyAlignment="1">
      <alignment horizontal="center" vertical="center"/>
    </xf>
    <xf numFmtId="179" fontId="29" fillId="14" borderId="0" xfId="0" applyNumberFormat="1" applyFont="1" applyFill="1" applyAlignment="1">
      <alignment horizontal="center"/>
    </xf>
    <xf numFmtId="0" fontId="29" fillId="14" borderId="0" xfId="0" applyFont="1" applyFill="1"/>
    <xf numFmtId="173" fontId="29" fillId="14" borderId="0" xfId="0" applyNumberFormat="1" applyFont="1" applyFill="1" applyAlignment="1">
      <alignment horizontal="center"/>
    </xf>
    <xf numFmtId="0" fontId="29" fillId="0" borderId="0" xfId="0" applyFont="1" applyAlignment="1">
      <alignment horizontal="left"/>
    </xf>
    <xf numFmtId="0" fontId="24" fillId="6" borderId="0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/>
    </xf>
    <xf numFmtId="0" fontId="12" fillId="7" borderId="0" xfId="0" applyFont="1" applyFill="1" applyBorder="1" applyAlignment="1">
      <alignment horizontal="center" vertical="center" wrapText="1"/>
    </xf>
    <xf numFmtId="14" fontId="29" fillId="0" borderId="0" xfId="0" applyNumberFormat="1" applyFont="1" applyAlignment="1">
      <alignment horizontal="center"/>
    </xf>
    <xf numFmtId="0" fontId="12" fillId="7" borderId="0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  <xf numFmtId="0" fontId="31" fillId="6" borderId="0" xfId="0" applyFont="1" applyFill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/>
    </xf>
    <xf numFmtId="0" fontId="12" fillId="7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left" vertical="top" wrapText="1"/>
    </xf>
    <xf numFmtId="0" fontId="8" fillId="10" borderId="0" xfId="0" applyFont="1" applyFill="1" applyBorder="1" applyAlignment="1">
      <alignment horizontal="left" vertical="top" wrapText="1"/>
    </xf>
    <xf numFmtId="0" fontId="23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168" fontId="27" fillId="7" borderId="0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181" fontId="30" fillId="6" borderId="7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174" fontId="2" fillId="2" borderId="0" xfId="0" applyNumberFormat="1" applyFont="1" applyFill="1" applyBorder="1" applyAlignment="1">
      <alignment horizontal="center" vertical="center"/>
    </xf>
    <xf numFmtId="170" fontId="2" fillId="2" borderId="0" xfId="0" applyNumberFormat="1" applyFont="1" applyFill="1" applyBorder="1" applyAlignment="1">
      <alignment horizontal="center" vertical="center"/>
    </xf>
    <xf numFmtId="167" fontId="30" fillId="6" borderId="7" xfId="0" applyNumberFormat="1" applyFont="1" applyFill="1" applyBorder="1" applyAlignment="1">
      <alignment horizontal="center" vertical="center" wrapText="1"/>
    </xf>
    <xf numFmtId="0" fontId="29" fillId="16" borderId="0" xfId="0" applyFont="1" applyFill="1"/>
    <xf numFmtId="3" fontId="2" fillId="16" borderId="0" xfId="0" applyNumberFormat="1" applyFont="1" applyFill="1" applyBorder="1" applyAlignment="1">
      <alignment horizontal="center" vertical="center"/>
    </xf>
    <xf numFmtId="170" fontId="2" fillId="16" borderId="0" xfId="0" applyNumberFormat="1" applyFont="1" applyFill="1" applyBorder="1" applyAlignment="1">
      <alignment horizontal="center" vertical="center"/>
    </xf>
    <xf numFmtId="174" fontId="2" fillId="16" borderId="0" xfId="0" applyNumberFormat="1" applyFont="1" applyFill="1" applyBorder="1" applyAlignment="1">
      <alignment horizontal="center" vertical="center"/>
    </xf>
    <xf numFmtId="3" fontId="2" fillId="14" borderId="0" xfId="0" applyNumberFormat="1" applyFont="1" applyFill="1" applyBorder="1" applyAlignment="1">
      <alignment horizontal="center" vertical="center"/>
    </xf>
    <xf numFmtId="170" fontId="2" fillId="14" borderId="0" xfId="0" applyNumberFormat="1" applyFont="1" applyFill="1" applyBorder="1" applyAlignment="1">
      <alignment horizontal="center" vertical="center"/>
    </xf>
    <xf numFmtId="174" fontId="2" fillId="14" borderId="0" xfId="0" applyNumberFormat="1" applyFont="1" applyFill="1" applyBorder="1" applyAlignment="1">
      <alignment horizontal="center" vertical="center"/>
    </xf>
    <xf numFmtId="0" fontId="29" fillId="16" borderId="0" xfId="0" applyFont="1" applyFill="1" applyAlignment="1">
      <alignment horizontal="center" vertical="center"/>
    </xf>
    <xf numFmtId="0" fontId="29" fillId="17" borderId="0" xfId="0" applyFont="1" applyFill="1" applyAlignment="1">
      <alignment horizontal="center" vertical="center"/>
    </xf>
    <xf numFmtId="184" fontId="2" fillId="2" borderId="0" xfId="0" applyNumberFormat="1" applyFont="1" applyFill="1" applyBorder="1" applyAlignment="1">
      <alignment horizontal="center" vertical="center"/>
    </xf>
    <xf numFmtId="170" fontId="29" fillId="0" borderId="0" xfId="0" applyNumberFormat="1" applyFont="1" applyAlignment="1">
      <alignment horizontal="center"/>
    </xf>
    <xf numFmtId="170" fontId="29" fillId="16" borderId="0" xfId="0" applyNumberFormat="1" applyFont="1" applyFill="1" applyAlignment="1">
      <alignment horizontal="center"/>
    </xf>
    <xf numFmtId="170" fontId="29" fillId="14" borderId="0" xfId="0" applyNumberFormat="1" applyFont="1" applyFill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3366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Flächenverteilung nach Baualter</a:t>
            </a:r>
            <a:endParaRPr lang="de-DE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745166229221348"/>
          <c:y val="0.17171296296296298"/>
          <c:w val="0.4528746719160105"/>
          <c:h val="0.75479111986001746"/>
        </c:manualLayout>
      </c:layout>
      <c:pieChart>
        <c:varyColors val="1"/>
        <c:ser>
          <c:idx val="0"/>
          <c:order val="0"/>
          <c:spPr>
            <a:solidFill>
              <a:srgbClr val="99CC00"/>
            </a:solidFill>
          </c:spPr>
          <c:dPt>
            <c:idx val="0"/>
            <c:bubble3D val="0"/>
            <c:spPr>
              <a:solidFill>
                <a:srgbClr val="99CC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28-4CC0-8F27-3E1A8F6DD845}"/>
              </c:ext>
            </c:extLst>
          </c:dPt>
          <c:dPt>
            <c:idx val="1"/>
            <c:bubble3D val="0"/>
            <c:spPr>
              <a:solidFill>
                <a:srgbClr val="3366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28-4CC0-8F27-3E1A8F6DD845}"/>
              </c:ext>
            </c:extLst>
          </c:dPt>
          <c:dLbls>
            <c:dLbl>
              <c:idx val="1"/>
              <c:layout>
                <c:manualLayout>
                  <c:x val="6.4694599588962245E-2"/>
                  <c:y val="0.148475867599883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28-4CC0-8F27-3E1A8F6DD84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'Grafiken (Rahmenplan)'!$C$2:$D$2</c:f>
              <c:strCache>
                <c:ptCount val="2"/>
                <c:pt idx="0">
                  <c:v>Neubau</c:v>
                </c:pt>
                <c:pt idx="1">
                  <c:v>Bestand</c:v>
                </c:pt>
              </c:strCache>
            </c:strRef>
          </c:cat>
          <c:val>
            <c:numRef>
              <c:f>'Grafiken (Rahmenplan)'!$C$5:$D$5</c:f>
              <c:numCache>
                <c:formatCode>#,##0\ "m²"</c:formatCode>
                <c:ptCount val="2"/>
                <c:pt idx="0">
                  <c:v>199076.5</c:v>
                </c:pt>
                <c:pt idx="1">
                  <c:v>23157.1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6A-4F35-9543-B8EFE537DD8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42607174103233"/>
          <c:y val="0.39172389909594635"/>
          <c:w val="0.21204768153980752"/>
          <c:h val="0.23458005249343833"/>
        </c:manualLayout>
      </c:layout>
      <c:overlay val="0"/>
      <c:spPr>
        <a:solidFill>
          <a:schemeClr val="bg1"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800" b="1"/>
              <a:t>Bedarfsverteilung (Nutzenergie)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'Grafiken (Rahmenplan)'!$C$2</c:f>
              <c:strCache>
                <c:ptCount val="1"/>
                <c:pt idx="0">
                  <c:v>Neubau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strRef>
              <c:f>'Grafiken (Rahmenplan)'!$B$3:$B$4</c:f>
              <c:strCache>
                <c:ptCount val="2"/>
                <c:pt idx="0">
                  <c:v>Heizen</c:v>
                </c:pt>
                <c:pt idx="1">
                  <c:v>Warmwasser</c:v>
                </c:pt>
              </c:strCache>
            </c:strRef>
          </c:cat>
          <c:val>
            <c:numRef>
              <c:f>'Grafiken (Rahmenplan)'!$C$3:$C$4</c:f>
              <c:numCache>
                <c:formatCode>#,##0\ "MWh/a"</c:formatCode>
                <c:ptCount val="2"/>
                <c:pt idx="0">
                  <c:v>2778.9829899999995</c:v>
                </c:pt>
                <c:pt idx="1">
                  <c:v>882.69882500000006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E3-4751-9219-E10C91844897}"/>
            </c:ext>
          </c:extLst>
        </c:ser>
        <c:ser>
          <c:idx val="1"/>
          <c:order val="1"/>
          <c:tx>
            <c:strRef>
              <c:f>'Grafiken (Rahmenplan)'!$D$2</c:f>
              <c:strCache>
                <c:ptCount val="1"/>
                <c:pt idx="0">
                  <c:v>Bestand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'Grafiken (Rahmenplan)'!$B$3:$B$4</c:f>
              <c:strCache>
                <c:ptCount val="2"/>
                <c:pt idx="0">
                  <c:v>Heizen</c:v>
                </c:pt>
                <c:pt idx="1">
                  <c:v>Warmwasser</c:v>
                </c:pt>
              </c:strCache>
            </c:strRef>
          </c:cat>
          <c:val>
            <c:numRef>
              <c:f>'Grafiken (Rahmenplan)'!$D$3:$D$4</c:f>
              <c:numCache>
                <c:formatCode>#,##0\ "MWh/a"</c:formatCode>
                <c:ptCount val="2"/>
                <c:pt idx="0">
                  <c:v>1466.5033000000001</c:v>
                </c:pt>
                <c:pt idx="1">
                  <c:v>41.345274999999994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E3-4751-9219-E10C91844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659648"/>
        <c:axId val="149348352"/>
      </c:barChart>
      <c:catAx>
        <c:axId val="16565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9348352"/>
        <c:crosses val="autoZero"/>
        <c:auto val="1"/>
        <c:lblAlgn val="ctr"/>
        <c:lblOffset val="100"/>
        <c:noMultiLvlLbl val="0"/>
      </c:catAx>
      <c:valAx>
        <c:axId val="1493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MWh/a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565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800" b="1" i="0" baseline="0">
                <a:effectLst/>
              </a:rPr>
              <a:t>Nutzenergiebedarfe nach Baualter</a:t>
            </a:r>
            <a:endParaRPr lang="de-DE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'Grafiken (Rahmenplan)'!$C$2</c:f>
              <c:strCache>
                <c:ptCount val="1"/>
                <c:pt idx="0">
                  <c:v>Neubau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strRef>
              <c:f>'Grafiken (Rahmenplan)'!$B$3:$B$4</c:f>
              <c:strCache>
                <c:ptCount val="2"/>
                <c:pt idx="0">
                  <c:v>Heizen</c:v>
                </c:pt>
                <c:pt idx="1">
                  <c:v>Warmwasser</c:v>
                </c:pt>
              </c:strCache>
            </c:strRef>
          </c:cat>
          <c:val>
            <c:numRef>
              <c:f>'Grafiken (Rahmenplan)'!$C$3:$C$4</c:f>
              <c:numCache>
                <c:formatCode>#,##0\ "MWh/a"</c:formatCode>
                <c:ptCount val="2"/>
                <c:pt idx="0">
                  <c:v>2778.9829899999995</c:v>
                </c:pt>
                <c:pt idx="1">
                  <c:v>882.69882500000006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4F-4725-8256-EAFE08299E9C}"/>
            </c:ext>
          </c:extLst>
        </c:ser>
        <c:ser>
          <c:idx val="1"/>
          <c:order val="1"/>
          <c:tx>
            <c:strRef>
              <c:f>'Grafiken (Rahmenplan)'!$D$2</c:f>
              <c:strCache>
                <c:ptCount val="1"/>
                <c:pt idx="0">
                  <c:v>Bestand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'Grafiken (Rahmenplan)'!$B$3:$B$4</c:f>
              <c:strCache>
                <c:ptCount val="2"/>
                <c:pt idx="0">
                  <c:v>Heizen</c:v>
                </c:pt>
                <c:pt idx="1">
                  <c:v>Warmwasser</c:v>
                </c:pt>
              </c:strCache>
            </c:strRef>
          </c:cat>
          <c:val>
            <c:numRef>
              <c:f>'Grafiken (Rahmenplan)'!$D$3:$D$4</c:f>
              <c:numCache>
                <c:formatCode>#,##0\ "MWh/a"</c:formatCode>
                <c:ptCount val="2"/>
                <c:pt idx="0">
                  <c:v>1466.5033000000001</c:v>
                </c:pt>
                <c:pt idx="1">
                  <c:v>41.345274999999994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4F-4725-8256-EAFE08299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701568"/>
        <c:axId val="149355264"/>
      </c:barChart>
      <c:catAx>
        <c:axId val="16670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9355264"/>
        <c:crosses val="autoZero"/>
        <c:auto val="1"/>
        <c:lblAlgn val="ctr"/>
        <c:lblOffset val="100"/>
        <c:noMultiLvlLbl val="0"/>
      </c:catAx>
      <c:valAx>
        <c:axId val="14935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MWh/a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70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717935258092737"/>
          <c:y val="0.88463436862058908"/>
          <c:w val="0.4056410761154855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Wärmebedarfsverteilung (Nutzenergie)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9829396325459"/>
          <c:y val="0.19184893554972296"/>
          <c:w val="0.46592300962379701"/>
          <c:h val="0.77653834937299504"/>
        </c:manualLayout>
      </c:layout>
      <c:pieChart>
        <c:varyColors val="1"/>
        <c:ser>
          <c:idx val="0"/>
          <c:order val="0"/>
          <c:tx>
            <c:strRef>
              <c:f>'Grafiken (Rahmenplan)'!$B$3</c:f>
              <c:strCache>
                <c:ptCount val="1"/>
                <c:pt idx="0">
                  <c:v>Heizen</c:v>
                </c:pt>
              </c:strCache>
            </c:strRef>
          </c:tx>
          <c:spPr>
            <a:solidFill>
              <a:srgbClr val="99CC00"/>
            </a:solidFill>
          </c:spPr>
          <c:dPt>
            <c:idx val="0"/>
            <c:bubble3D val="0"/>
            <c:spPr>
              <a:solidFill>
                <a:srgbClr val="99CC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66-435F-8E98-A003C96729BA}"/>
              </c:ext>
            </c:extLst>
          </c:dPt>
          <c:dPt>
            <c:idx val="1"/>
            <c:bubble3D val="0"/>
            <c:spPr>
              <a:solidFill>
                <a:srgbClr val="336699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666-435F-8E98-A003C96729BA}"/>
              </c:ext>
            </c:extLst>
          </c:dPt>
          <c:dLbls>
            <c:dLbl>
              <c:idx val="0"/>
              <c:layout>
                <c:manualLayout>
                  <c:x val="-0.19598753280839901"/>
                  <c:y val="0.15816054243219599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66-435F-8E98-A003C96729BA}"/>
                </c:ext>
              </c:extLst>
            </c:dLbl>
            <c:dLbl>
              <c:idx val="1"/>
              <c:layout>
                <c:manualLayout>
                  <c:x val="0.23775371828521435"/>
                  <c:y val="-9.100211431904353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66-435F-8E98-A003C9672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'Grafiken (Rahmenplan)'!$C$2:$D$2</c:f>
              <c:strCache>
                <c:ptCount val="2"/>
                <c:pt idx="0">
                  <c:v>Neubau</c:v>
                </c:pt>
                <c:pt idx="1">
                  <c:v>Bestand</c:v>
                </c:pt>
              </c:strCache>
            </c:strRef>
          </c:cat>
          <c:val>
            <c:numRef>
              <c:f>'Grafiken (Rahmenplan)'!$C$3:$D$3</c:f>
              <c:numCache>
                <c:formatCode>#,##0\ "MWh/a"</c:formatCode>
                <c:ptCount val="2"/>
                <c:pt idx="0">
                  <c:v>2778.9829899999995</c:v>
                </c:pt>
                <c:pt idx="1">
                  <c:v>1466.5033000000001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66-435F-8E98-A003C9672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32904636920385"/>
          <c:y val="0.42167140565762612"/>
          <c:w val="0.30008552055992999"/>
          <c:h val="0.305180446194225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 b="1"/>
              <a:t>Flächenverteilung nach Nutzungsarten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255599300087488"/>
          <c:y val="0.14393518518518519"/>
          <c:w val="0.48933267716535434"/>
          <c:h val="0.8155544619422572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9A9-428A-A83F-A73424289F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9A9-428A-A83F-A73424289F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9A9-428A-A83F-A73424289F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9A9-428A-A83F-A73424289F74}"/>
              </c:ext>
            </c:extLst>
          </c:dPt>
          <c:dLbls>
            <c:dLbl>
              <c:idx val="0"/>
              <c:layout>
                <c:manualLayout>
                  <c:x val="-6.2829396325459363E-2"/>
                  <c:y val="0.11148038786818315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A9-428A-A83F-A73424289F74}"/>
                </c:ext>
              </c:extLst>
            </c:dLbl>
            <c:dLbl>
              <c:idx val="1"/>
              <c:layout>
                <c:manualLayout>
                  <c:x val="-0.14177274715660543"/>
                  <c:y val="-0.2327777777777778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A9-428A-A83F-A73424289F74}"/>
                </c:ext>
              </c:extLst>
            </c:dLbl>
            <c:dLbl>
              <c:idx val="2"/>
              <c:layout>
                <c:manualLayout>
                  <c:x val="2.5333333333333329E-2"/>
                  <c:y val="-1.513342082239720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A9-428A-A83F-A73424289F74}"/>
                </c:ext>
              </c:extLst>
            </c:dLbl>
            <c:dLbl>
              <c:idx val="3"/>
              <c:layout>
                <c:manualLayout>
                  <c:x val="0.14766688538932635"/>
                  <c:y val="0.18281459609215514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A9-428A-A83F-A73424289F74}"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'Grafiken (Rahmenplan)'!$B$10:$B$13</c:f>
              <c:strCache>
                <c:ptCount val="4"/>
                <c:pt idx="0">
                  <c:v>Wohnen</c:v>
                </c:pt>
                <c:pt idx="1">
                  <c:v>Büro / DL</c:v>
                </c:pt>
                <c:pt idx="2">
                  <c:v>Gewerbe</c:v>
                </c:pt>
                <c:pt idx="3">
                  <c:v>Parken</c:v>
                </c:pt>
              </c:strCache>
            </c:strRef>
          </c:cat>
          <c:val>
            <c:numRef>
              <c:f>'Grafiken (Rahmenplan)'!$C$10:$C$13</c:f>
              <c:numCache>
                <c:formatCode>#,##0\ "m²"</c:formatCode>
                <c:ptCount val="4"/>
                <c:pt idx="0">
                  <c:v>30849.4</c:v>
                </c:pt>
                <c:pt idx="1">
                  <c:v>124598.79999999999</c:v>
                </c:pt>
                <c:pt idx="2">
                  <c:v>14200.4</c:v>
                </c:pt>
                <c:pt idx="3">
                  <c:v>52585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A9-428A-A83F-A73424289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544138232720909"/>
          <c:y val="0.19560075823855352"/>
          <c:w val="0.23411723534558179"/>
          <c:h val="0.70254738990959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800" b="1"/>
              <a:t>Nutzenergiebedarfe (Neubau + Bestand) nach Nutzungsarten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'Grafiken (Rahmenplan)'!$D$9</c:f>
              <c:strCache>
                <c:ptCount val="1"/>
                <c:pt idx="0">
                  <c:v>Heizwärme + WW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strRef>
              <c:f>'Grafiken (Rahmenplan)'!$B$10:$B$13</c:f>
              <c:strCache>
                <c:ptCount val="4"/>
                <c:pt idx="0">
                  <c:v>Wohnen</c:v>
                </c:pt>
                <c:pt idx="1">
                  <c:v>Büro / DL</c:v>
                </c:pt>
                <c:pt idx="2">
                  <c:v>Gewerbe</c:v>
                </c:pt>
                <c:pt idx="3">
                  <c:v>Parken</c:v>
                </c:pt>
              </c:strCache>
            </c:strRef>
          </c:cat>
          <c:val>
            <c:numRef>
              <c:f>'Grafiken (Rahmenplan)'!$D$10:$D$13</c:f>
              <c:numCache>
                <c:formatCode>#,##0\ "MWh/a"</c:formatCode>
                <c:ptCount val="4"/>
                <c:pt idx="0">
                  <c:v>888.46271999999999</c:v>
                </c:pt>
                <c:pt idx="1">
                  <c:v>7320.2248200000004</c:v>
                </c:pt>
                <c:pt idx="2">
                  <c:v>576.23284999999998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A1-4FFC-AB17-93F25E3204E4}"/>
            </c:ext>
          </c:extLst>
        </c:ser>
        <c:ser>
          <c:idx val="1"/>
          <c:order val="1"/>
          <c:tx>
            <c:strRef>
              <c:f>'Grafiken (Rahmenplan)'!$E$9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'Grafiken (Rahmenplan)'!$B$10:$B$13</c:f>
              <c:strCache>
                <c:ptCount val="4"/>
                <c:pt idx="0">
                  <c:v>Wohnen</c:v>
                </c:pt>
                <c:pt idx="1">
                  <c:v>Büro / DL</c:v>
                </c:pt>
                <c:pt idx="2">
                  <c:v>Gewerbe</c:v>
                </c:pt>
                <c:pt idx="3">
                  <c:v>Parken</c:v>
                </c:pt>
              </c:strCache>
            </c:strRef>
          </c:cat>
          <c:val>
            <c:numRef>
              <c:f>'Grafiken (Rahmenplan)'!$E$10:$E$13</c:f>
              <c:numCache>
                <c:formatCode>#,##0\ "MWh/a"</c:formatCode>
                <c:ptCount val="4"/>
                <c:pt idx="0">
                  <c:v>832.93380000000002</c:v>
                </c:pt>
                <c:pt idx="1">
                  <c:v>5296.4494500000001</c:v>
                </c:pt>
                <c:pt idx="2">
                  <c:v>638.87699999999995</c:v>
                </c:pt>
                <c:pt idx="3">
                  <c:v>210.34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A1-4FFC-AB17-93F25E320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702592"/>
        <c:axId val="149426112"/>
      </c:barChart>
      <c:catAx>
        <c:axId val="16670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9426112"/>
        <c:crosses val="autoZero"/>
        <c:auto val="1"/>
        <c:lblAlgn val="ctr"/>
        <c:lblOffset val="100"/>
        <c:noMultiLvlLbl val="0"/>
      </c:catAx>
      <c:valAx>
        <c:axId val="14942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MWh/a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70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800" b="1"/>
              <a:t>Nutzenergiebedarfe im Neubau</a:t>
            </a:r>
            <a:r>
              <a:rPr lang="de-DE" sz="1800" b="1" baseline="0"/>
              <a:t> </a:t>
            </a:r>
          </a:p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800" b="1" baseline="0"/>
              <a:t>nach Nutzungsarten</a:t>
            </a:r>
            <a:endParaRPr lang="de-DE" sz="18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'Grafiken (Rahmenplan)'!$G$9</c:f>
              <c:strCache>
                <c:ptCount val="1"/>
                <c:pt idx="0">
                  <c:v>Heizwärme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strRef>
              <c:f>'Grafiken (Rahmenplan)'!$B$10:$B$13</c:f>
              <c:strCache>
                <c:ptCount val="4"/>
                <c:pt idx="0">
                  <c:v>Wohnen</c:v>
                </c:pt>
                <c:pt idx="1">
                  <c:v>Büro / DL</c:v>
                </c:pt>
                <c:pt idx="2">
                  <c:v>Gewerbe</c:v>
                </c:pt>
                <c:pt idx="3">
                  <c:v>Parken</c:v>
                </c:pt>
              </c:strCache>
            </c:strRef>
          </c:cat>
          <c:val>
            <c:numRef>
              <c:f>'Grafiken (Rahmenplan)'!$G$10:$G$13</c:f>
              <c:numCache>
                <c:formatCode>#,##0\ "MWh/a"</c:formatCode>
                <c:ptCount val="4"/>
                <c:pt idx="0">
                  <c:v>610.81812000000002</c:v>
                </c:pt>
                <c:pt idx="1">
                  <c:v>1924.9798700000006</c:v>
                </c:pt>
                <c:pt idx="2">
                  <c:v>243.18500000000003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5C-419E-AC77-875C297E2F4B}"/>
            </c:ext>
          </c:extLst>
        </c:ser>
        <c:ser>
          <c:idx val="1"/>
          <c:order val="1"/>
          <c:tx>
            <c:strRef>
              <c:f>'Grafiken (Rahmenplan)'!$H$9</c:f>
              <c:strCache>
                <c:ptCount val="1"/>
                <c:pt idx="0">
                  <c:v>Warmwasser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'Grafiken (Rahmenplan)'!$B$10:$B$13</c:f>
              <c:strCache>
                <c:ptCount val="4"/>
                <c:pt idx="0">
                  <c:v>Wohnen</c:v>
                </c:pt>
                <c:pt idx="1">
                  <c:v>Büro / DL</c:v>
                </c:pt>
                <c:pt idx="2">
                  <c:v>Gewerbe</c:v>
                </c:pt>
                <c:pt idx="3">
                  <c:v>Parken</c:v>
                </c:pt>
              </c:strCache>
            </c:strRef>
          </c:cat>
          <c:val>
            <c:numRef>
              <c:f>'Grafiken (Rahmenplan)'!$H$10:$H$13</c:f>
              <c:numCache>
                <c:formatCode>#,##0\ "MWh/a"</c:formatCode>
                <c:ptCount val="4"/>
                <c:pt idx="0">
                  <c:v>277.64459999999997</c:v>
                </c:pt>
                <c:pt idx="1">
                  <c:v>476.3429749999998</c:v>
                </c:pt>
                <c:pt idx="2">
                  <c:v>128.71124999999998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5C-419E-AC77-875C297E2F4B}"/>
            </c:ext>
          </c:extLst>
        </c:ser>
        <c:ser>
          <c:idx val="2"/>
          <c:order val="2"/>
          <c:tx>
            <c:strRef>
              <c:f>'Grafiken (Rahmenplan)'!$I$9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'Grafiken (Rahmenplan)'!$B$10:$B$13</c:f>
              <c:strCache>
                <c:ptCount val="4"/>
                <c:pt idx="0">
                  <c:v>Wohnen</c:v>
                </c:pt>
                <c:pt idx="1">
                  <c:v>Büro / DL</c:v>
                </c:pt>
                <c:pt idx="2">
                  <c:v>Gewerbe</c:v>
                </c:pt>
                <c:pt idx="3">
                  <c:v>Parken</c:v>
                </c:pt>
              </c:strCache>
            </c:strRef>
          </c:cat>
          <c:val>
            <c:numRef>
              <c:f>'Grafiken (Rahmenplan)'!$I$10:$I$13</c:f>
              <c:numCache>
                <c:formatCode>#,##0\ "MWh/a"</c:formatCode>
                <c:ptCount val="4"/>
                <c:pt idx="0">
                  <c:v>832.93380000000002</c:v>
                </c:pt>
                <c:pt idx="1">
                  <c:v>3567.4861249999999</c:v>
                </c:pt>
                <c:pt idx="2">
                  <c:v>575.19499999999994</c:v>
                </c:pt>
                <c:pt idx="3">
                  <c:v>210.34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5C-419E-AC77-875C297E2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782976"/>
        <c:axId val="149428992"/>
      </c:barChart>
      <c:catAx>
        <c:axId val="1667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9428992"/>
        <c:crosses val="autoZero"/>
        <c:auto val="1"/>
        <c:lblAlgn val="ctr"/>
        <c:lblOffset val="100"/>
        <c:noMultiLvlLbl val="0"/>
      </c:catAx>
      <c:valAx>
        <c:axId val="14942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MWh/a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78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72200349956254"/>
          <c:y val="0.88463436862058908"/>
          <c:w val="0.62756867891513557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404811</xdr:colOff>
      <xdr:row>20</xdr:row>
      <xdr:rowOff>114300</xdr:rowOff>
    </xdr:from>
    <xdr:to>
      <xdr:col>3</xdr:col>
      <xdr:colOff>880387</xdr:colOff>
      <xdr:row>37</xdr:row>
      <xdr:rowOff>104775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433388</xdr:colOff>
      <xdr:row>56</xdr:row>
      <xdr:rowOff>19050</xdr:rowOff>
    </xdr:from>
    <xdr:to>
      <xdr:col>3</xdr:col>
      <xdr:colOff>714375</xdr:colOff>
      <xdr:row>73</xdr:row>
      <xdr:rowOff>9525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1019175</xdr:colOff>
      <xdr:row>20</xdr:row>
      <xdr:rowOff>138112</xdr:rowOff>
    </xdr:from>
    <xdr:to>
      <xdr:col>8</xdr:col>
      <xdr:colOff>419100</xdr:colOff>
      <xdr:row>37</xdr:row>
      <xdr:rowOff>128587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1000124</xdr:colOff>
      <xdr:row>38</xdr:row>
      <xdr:rowOff>28575</xdr:rowOff>
    </xdr:from>
    <xdr:to>
      <xdr:col>8</xdr:col>
      <xdr:colOff>411357</xdr:colOff>
      <xdr:row>55</xdr:row>
      <xdr:rowOff>19050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38</xdr:row>
      <xdr:rowOff>47625</xdr:rowOff>
    </xdr:from>
    <xdr:to>
      <xdr:col>3</xdr:col>
      <xdr:colOff>876300</xdr:colOff>
      <xdr:row>55</xdr:row>
      <xdr:rowOff>38100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633412</xdr:colOff>
      <xdr:row>20</xdr:row>
      <xdr:rowOff>133350</xdr:rowOff>
    </xdr:from>
    <xdr:to>
      <xdr:col>14</xdr:col>
      <xdr:colOff>271462</xdr:colOff>
      <xdr:row>37</xdr:row>
      <xdr:rowOff>123825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633412</xdr:colOff>
      <xdr:row>38</xdr:row>
      <xdr:rowOff>76200</xdr:rowOff>
    </xdr:from>
    <xdr:to>
      <xdr:col>14</xdr:col>
      <xdr:colOff>119062</xdr:colOff>
      <xdr:row>55</xdr:row>
      <xdr:rowOff>66675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BG71"/>
  <sheetViews>
    <sheetView showGridLines="0" tabSelected="1" topLeftCell="AR1" zoomScaleNormal="100" workbookViewId="0">
      <selection activeCell="AZ8" sqref="AZ8"/>
    </sheetView>
  </sheetViews>
  <sheetFormatPr baseColWidth="10" defaultRowHeight="15" x14ac:dyDescent="0.25"/>
  <cols>
    <col min="1" max="1" width="13.83203125" style="247" customWidth="1"/>
    <col min="2" max="2" width="19.6640625" style="247" customWidth="1"/>
    <col min="3" max="3" width="15.1640625" style="247" customWidth="1"/>
    <col min="4" max="4" width="13.83203125" style="247" customWidth="1"/>
    <col min="5" max="5" width="13.83203125" style="248" customWidth="1"/>
    <col min="6" max="8" width="13.83203125" style="247" customWidth="1"/>
    <col min="9" max="9" width="5.6640625" style="247" customWidth="1"/>
    <col min="10" max="10" width="20.83203125" style="247" customWidth="1"/>
    <col min="11" max="15" width="13.83203125" style="247" customWidth="1"/>
    <col min="16" max="16" width="5.6640625" style="247" customWidth="1"/>
    <col min="17" max="19" width="21.1640625" style="264" customWidth="1"/>
    <col min="20" max="20" width="5.6640625" style="247" customWidth="1"/>
    <col min="21" max="23" width="18.5" style="247" customWidth="1"/>
    <col min="24" max="24" width="5.6640625" style="247" customWidth="1"/>
    <col min="25" max="27" width="18.5" style="247" customWidth="1"/>
    <col min="28" max="28" width="5.6640625" style="247" customWidth="1"/>
    <col min="29" max="31" width="18.5" style="247" customWidth="1"/>
    <col min="32" max="32" width="5.6640625" style="247" customWidth="1"/>
    <col min="33" max="33" width="18.5" style="247" customWidth="1"/>
    <col min="34" max="34" width="8.33203125" style="249" customWidth="1"/>
    <col min="35" max="44" width="20" style="247" customWidth="1"/>
    <col min="45" max="45" width="7" style="249" customWidth="1"/>
    <col min="46" max="48" width="28.33203125" style="247" customWidth="1"/>
    <col min="49" max="49" width="7.1640625" style="249" customWidth="1"/>
    <col min="50" max="52" width="20.1640625" style="247" customWidth="1"/>
    <col min="53" max="53" width="29" style="249" customWidth="1"/>
    <col min="54" max="54" width="5.5" style="249" customWidth="1"/>
    <col min="55" max="55" width="30" style="249" customWidth="1"/>
    <col min="56" max="56" width="21.33203125" style="249" customWidth="1"/>
    <col min="57" max="16384" width="12" style="249"/>
  </cols>
  <sheetData>
    <row r="2" spans="1:59" ht="21" customHeight="1" x14ac:dyDescent="0.25">
      <c r="B2" s="341" t="s">
        <v>31</v>
      </c>
      <c r="AX2" s="7" t="s">
        <v>91</v>
      </c>
      <c r="AZ2" s="7" t="s">
        <v>0</v>
      </c>
      <c r="BA2" s="8" t="s">
        <v>1</v>
      </c>
      <c r="BC2" s="247" t="s">
        <v>221</v>
      </c>
    </row>
    <row r="3" spans="1:59" ht="21" customHeight="1" x14ac:dyDescent="0.25">
      <c r="B3" s="342" t="s">
        <v>220</v>
      </c>
      <c r="AX3" s="7">
        <v>0.21</v>
      </c>
      <c r="AZ3" s="10">
        <v>10300</v>
      </c>
      <c r="BA3" s="7" t="s">
        <v>6</v>
      </c>
      <c r="BC3" s="343">
        <v>10</v>
      </c>
    </row>
    <row r="4" spans="1:59" x14ac:dyDescent="0.25">
      <c r="AX4" s="7" t="s">
        <v>11</v>
      </c>
      <c r="AZ4" s="10"/>
      <c r="BA4" s="7"/>
    </row>
    <row r="5" spans="1:59" x14ac:dyDescent="0.25">
      <c r="AX5" s="21">
        <v>54</v>
      </c>
      <c r="AZ5" s="7" t="s">
        <v>12</v>
      </c>
      <c r="BA5" s="7" t="s">
        <v>13</v>
      </c>
      <c r="BC5" s="247" t="s">
        <v>223</v>
      </c>
    </row>
    <row r="6" spans="1:59" x14ac:dyDescent="0.25">
      <c r="AX6" s="7" t="s">
        <v>90</v>
      </c>
      <c r="AZ6" s="22">
        <v>0.18</v>
      </c>
      <c r="BA6" s="7">
        <v>0.5</v>
      </c>
      <c r="BC6" s="247">
        <v>6</v>
      </c>
    </row>
    <row r="7" spans="1:59" x14ac:dyDescent="0.25">
      <c r="C7" s="304"/>
      <c r="D7" s="296"/>
      <c r="AX7" s="7">
        <v>0.3</v>
      </c>
    </row>
    <row r="8" spans="1:59" x14ac:dyDescent="0.25">
      <c r="A8" s="249"/>
    </row>
    <row r="9" spans="1:59" ht="42.75" customHeight="1" x14ac:dyDescent="0.25">
      <c r="U9" s="312" t="s">
        <v>213</v>
      </c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I9" s="314" t="s">
        <v>214</v>
      </c>
      <c r="AJ9" s="314"/>
      <c r="AK9" s="314"/>
      <c r="AL9" s="314"/>
      <c r="AM9" s="314"/>
      <c r="AN9" s="314"/>
      <c r="AO9" s="314"/>
      <c r="AP9" s="314"/>
      <c r="AQ9" s="314"/>
      <c r="AR9" s="314"/>
      <c r="AT9" s="310" t="s">
        <v>119</v>
      </c>
      <c r="AU9" s="310"/>
      <c r="AV9" s="310"/>
    </row>
    <row r="10" spans="1:59" s="255" customFormat="1" ht="46.5" customHeight="1" thickBot="1" x14ac:dyDescent="0.3">
      <c r="A10" s="251" t="s">
        <v>132</v>
      </c>
      <c r="B10" s="252" t="s">
        <v>133</v>
      </c>
      <c r="C10" s="252" t="s">
        <v>134</v>
      </c>
      <c r="D10" s="252" t="s">
        <v>135</v>
      </c>
      <c r="E10" s="253" t="s">
        <v>136</v>
      </c>
      <c r="F10" s="252" t="s">
        <v>137</v>
      </c>
      <c r="G10" s="252" t="s">
        <v>138</v>
      </c>
      <c r="H10" s="252" t="s">
        <v>139</v>
      </c>
      <c r="I10" s="247"/>
      <c r="J10" s="254" t="s">
        <v>208</v>
      </c>
      <c r="K10" s="306" t="s">
        <v>209</v>
      </c>
      <c r="L10" s="307"/>
      <c r="M10" s="307"/>
      <c r="N10" s="307"/>
      <c r="O10" s="307"/>
      <c r="P10" s="247"/>
      <c r="Q10" s="252" t="s">
        <v>45</v>
      </c>
      <c r="R10" s="252" t="s">
        <v>211</v>
      </c>
      <c r="S10" s="252" t="s">
        <v>212</v>
      </c>
      <c r="T10" s="247"/>
      <c r="U10" s="308" t="s">
        <v>28</v>
      </c>
      <c r="V10" s="308"/>
      <c r="W10" s="308"/>
      <c r="X10" s="247"/>
      <c r="Y10" s="309" t="s">
        <v>29</v>
      </c>
      <c r="Z10" s="309"/>
      <c r="AA10" s="309"/>
      <c r="AB10" s="247"/>
      <c r="AC10" s="309" t="s">
        <v>30</v>
      </c>
      <c r="AD10" s="309"/>
      <c r="AE10" s="309"/>
      <c r="AF10" s="247"/>
      <c r="AG10" s="246" t="s">
        <v>31</v>
      </c>
      <c r="AI10" s="315" t="s">
        <v>20</v>
      </c>
      <c r="AJ10" s="315"/>
      <c r="AK10" s="315"/>
      <c r="AL10" s="316" t="s">
        <v>21</v>
      </c>
      <c r="AM10" s="316"/>
      <c r="AN10" s="316"/>
      <c r="AO10" s="317" t="s">
        <v>125</v>
      </c>
      <c r="AP10" s="317"/>
      <c r="AQ10" s="317"/>
      <c r="AR10" s="317"/>
      <c r="AT10" s="311" t="s">
        <v>120</v>
      </c>
      <c r="AU10" s="311"/>
      <c r="AV10" s="311"/>
      <c r="AX10" s="330" t="s">
        <v>219</v>
      </c>
      <c r="AY10" s="330"/>
      <c r="AZ10" s="330"/>
      <c r="BA10" s="330"/>
      <c r="BC10" s="330" t="s">
        <v>130</v>
      </c>
      <c r="BD10" s="330"/>
      <c r="BE10" s="249"/>
      <c r="BF10" s="249"/>
      <c r="BG10" s="249"/>
    </row>
    <row r="11" spans="1:59" s="255" customFormat="1" ht="32.25" customHeight="1" thickBot="1" x14ac:dyDescent="0.3">
      <c r="A11" s="256"/>
      <c r="B11" s="257"/>
      <c r="C11" s="257"/>
      <c r="D11" s="257"/>
      <c r="E11" s="258"/>
      <c r="F11" s="257"/>
      <c r="G11" s="257"/>
      <c r="H11" s="257"/>
      <c r="I11" s="247"/>
      <c r="J11" s="257" t="s">
        <v>64</v>
      </c>
      <c r="K11" s="257" t="s">
        <v>206</v>
      </c>
      <c r="L11" s="257" t="s">
        <v>207</v>
      </c>
      <c r="M11" s="257" t="s">
        <v>30</v>
      </c>
      <c r="N11" s="257" t="s">
        <v>31</v>
      </c>
      <c r="O11" s="262" t="s">
        <v>210</v>
      </c>
      <c r="P11" s="247"/>
      <c r="Q11" s="257"/>
      <c r="R11" s="257"/>
      <c r="S11" s="257"/>
      <c r="T11" s="247"/>
      <c r="U11" s="270" t="s">
        <v>104</v>
      </c>
      <c r="V11" s="271" t="s">
        <v>50</v>
      </c>
      <c r="W11" s="272" t="s">
        <v>51</v>
      </c>
      <c r="X11" s="247"/>
      <c r="Y11" s="270" t="s">
        <v>104</v>
      </c>
      <c r="Z11" s="271" t="s">
        <v>50</v>
      </c>
      <c r="AA11" s="272" t="s">
        <v>51</v>
      </c>
      <c r="AB11" s="247"/>
      <c r="AC11" s="270" t="s">
        <v>104</v>
      </c>
      <c r="AD11" s="271" t="s">
        <v>50</v>
      </c>
      <c r="AE11" s="272" t="s">
        <v>51</v>
      </c>
      <c r="AF11" s="247"/>
      <c r="AG11" s="272" t="s">
        <v>51</v>
      </c>
      <c r="AI11" s="275" t="s">
        <v>28</v>
      </c>
      <c r="AJ11" s="276" t="s">
        <v>29</v>
      </c>
      <c r="AK11" s="276" t="s">
        <v>30</v>
      </c>
      <c r="AL11" s="276" t="s">
        <v>28</v>
      </c>
      <c r="AM11" s="276" t="s">
        <v>29</v>
      </c>
      <c r="AN11" s="276" t="s">
        <v>30</v>
      </c>
      <c r="AO11" s="276" t="s">
        <v>28</v>
      </c>
      <c r="AP11" s="276" t="s">
        <v>29</v>
      </c>
      <c r="AQ11" s="276" t="s">
        <v>30</v>
      </c>
      <c r="AR11" s="277" t="s">
        <v>31</v>
      </c>
      <c r="AT11" s="246" t="s">
        <v>57</v>
      </c>
      <c r="AU11" s="246" t="s">
        <v>58</v>
      </c>
      <c r="AV11" s="246" t="s">
        <v>59</v>
      </c>
      <c r="AX11" s="305" t="s">
        <v>114</v>
      </c>
      <c r="AY11" s="305" t="s">
        <v>115</v>
      </c>
      <c r="AZ11" s="305" t="s">
        <v>12</v>
      </c>
      <c r="BA11" s="305" t="s">
        <v>62</v>
      </c>
      <c r="BC11" s="305" t="s">
        <v>222</v>
      </c>
      <c r="BD11" s="305" t="s">
        <v>12</v>
      </c>
    </row>
    <row r="12" spans="1:59" s="255" customFormat="1" ht="20.25" customHeight="1" x14ac:dyDescent="0.25">
      <c r="A12" s="259"/>
      <c r="B12" s="260"/>
      <c r="C12" s="260"/>
      <c r="D12" s="260"/>
      <c r="E12" s="261"/>
      <c r="F12" s="260"/>
      <c r="G12" s="260"/>
      <c r="H12" s="260"/>
      <c r="I12" s="247"/>
      <c r="J12" s="267">
        <f>SUM(J13:J71)</f>
        <v>211865.29999999987</v>
      </c>
      <c r="K12" s="266">
        <f>SUM(K13:K71)</f>
        <v>39660.000000000007</v>
      </c>
      <c r="L12" s="266">
        <f t="shared" ref="L12:N12" si="0">SUM(L13:L71)</f>
        <v>123625.79999999999</v>
      </c>
      <c r="M12" s="266">
        <f t="shared" si="0"/>
        <v>15996</v>
      </c>
      <c r="N12" s="266">
        <f t="shared" si="0"/>
        <v>32583.5</v>
      </c>
      <c r="O12" s="266" t="str">
        <f>IF(SUM(K12:N12)=J12,"Ok","Fehler")</f>
        <v>Ok</v>
      </c>
      <c r="P12" s="247"/>
      <c r="Q12" s="268">
        <f>SUM(Q13:Q71)</f>
        <v>742.63106378730231</v>
      </c>
      <c r="R12" s="268">
        <f t="shared" ref="R12:S12" si="1">SUM(R13:R71)</f>
        <v>337.55957444877373</v>
      </c>
      <c r="S12" s="268">
        <f t="shared" si="1"/>
        <v>2686.5509016671399</v>
      </c>
      <c r="T12" s="247"/>
      <c r="U12" s="273">
        <v>22</v>
      </c>
      <c r="V12" s="273">
        <v>10</v>
      </c>
      <c r="W12" s="273">
        <v>30</v>
      </c>
      <c r="X12" s="247"/>
      <c r="Y12" s="273">
        <v>22</v>
      </c>
      <c r="Z12" s="273">
        <v>5</v>
      </c>
      <c r="AA12" s="273">
        <v>35</v>
      </c>
      <c r="AB12" s="247"/>
      <c r="AC12" s="273">
        <v>22</v>
      </c>
      <c r="AD12" s="273">
        <v>7.5</v>
      </c>
      <c r="AE12" s="273">
        <v>50</v>
      </c>
      <c r="AF12" s="247"/>
      <c r="AG12" s="269">
        <v>4</v>
      </c>
      <c r="AI12" s="278">
        <f>SUM(AI13:AI71)</f>
        <v>872.5200000000001</v>
      </c>
      <c r="AJ12" s="278">
        <f t="shared" ref="AJ12:AR12" si="2">SUM(AJ13:AJ71)</f>
        <v>2719.7676000000006</v>
      </c>
      <c r="AK12" s="278">
        <f t="shared" si="2"/>
        <v>351.91200000000003</v>
      </c>
      <c r="AL12" s="278">
        <f t="shared" si="2"/>
        <v>396.6</v>
      </c>
      <c r="AM12" s="278">
        <f t="shared" si="2"/>
        <v>418.62580000000014</v>
      </c>
      <c r="AN12" s="278">
        <f t="shared" si="2"/>
        <v>119.97</v>
      </c>
      <c r="AO12" s="278">
        <f t="shared" si="2"/>
        <v>1189.7999999999997</v>
      </c>
      <c r="AP12" s="278">
        <f t="shared" si="2"/>
        <v>4326.9030000000002</v>
      </c>
      <c r="AQ12" s="278">
        <f t="shared" si="2"/>
        <v>799.8</v>
      </c>
      <c r="AR12" s="278">
        <f t="shared" si="2"/>
        <v>130.334</v>
      </c>
      <c r="AT12" s="278">
        <f t="shared" ref="AT12" si="3">SUM(AT13:AT71)</f>
        <v>3944.1996000000004</v>
      </c>
      <c r="AU12" s="278">
        <f t="shared" ref="AU12" si="4">SUM(AU13:AU71)</f>
        <v>935.19580000000008</v>
      </c>
      <c r="AV12" s="278">
        <f t="shared" ref="AV12:AZ12" si="5">SUM(AV13:AV71)</f>
        <v>6446.8370000000023</v>
      </c>
      <c r="AX12" s="328">
        <f>SUM(AX13:AX71)</f>
        <v>846.56417730090914</v>
      </c>
      <c r="AY12" s="328">
        <f t="shared" ref="AY12:AZ12" si="6">SUM(AY13:AY71)</f>
        <v>846.56417730090914</v>
      </c>
      <c r="AZ12" s="278">
        <f>SUM(AZ13:AZ71)/1000</f>
        <v>1569.5299847158851</v>
      </c>
      <c r="BA12" s="333">
        <f>SUM(BA13:BA71)/1000</f>
        <v>12.867775494973818</v>
      </c>
      <c r="BC12" s="278">
        <f>SUM(BC13:BC71)/1000</f>
        <v>2118.6529999999998</v>
      </c>
      <c r="BD12" s="278">
        <f>SUM(BD13:BD71)/1000</f>
        <v>353.10883333333339</v>
      </c>
    </row>
    <row r="13" spans="1:59" x14ac:dyDescent="0.25">
      <c r="A13" s="247">
        <v>171524</v>
      </c>
      <c r="B13" s="247" t="s">
        <v>140</v>
      </c>
      <c r="C13" s="247" t="s">
        <v>131</v>
      </c>
      <c r="D13" s="247" t="s">
        <v>141</v>
      </c>
      <c r="E13" s="248" t="s">
        <v>172</v>
      </c>
      <c r="F13" s="250">
        <v>478.8</v>
      </c>
      <c r="G13" s="247" t="s">
        <v>142</v>
      </c>
      <c r="H13" s="247">
        <v>4</v>
      </c>
      <c r="J13" s="250">
        <f>H13*F13</f>
        <v>1915.2</v>
      </c>
      <c r="K13" s="250">
        <f>IF(C13="Wohnen",J13,0)</f>
        <v>0</v>
      </c>
      <c r="L13" s="250">
        <f>IF(C13="Buero/DL",J13,0)</f>
        <v>1915.2</v>
      </c>
      <c r="M13" s="250">
        <f>IF(C13="Gewerbe",J13,0)</f>
        <v>0</v>
      </c>
      <c r="N13" s="250">
        <f>IF(C13="Parken",J13,0)</f>
        <v>0</v>
      </c>
      <c r="O13" s="263" t="str">
        <f>IF(SUM(K13:N13)=J13,"Ok","Fehler")</f>
        <v>Ok</v>
      </c>
      <c r="Q13" s="265">
        <f>K13*'Bedarfsanalyse (Rahmenplan)'!$Q$6</f>
        <v>0</v>
      </c>
      <c r="R13" s="265">
        <f>K13*'Bedarfsanalyse (Rahmenplan)'!$R$6</f>
        <v>0</v>
      </c>
      <c r="S13" s="265">
        <f>(L13+M13)*'Bedarfsanalyse (Rahmenplan)'!$S$6</f>
        <v>36.851568214081937</v>
      </c>
      <c r="U13" s="274">
        <f>U$12</f>
        <v>22</v>
      </c>
      <c r="V13" s="274">
        <f t="shared" ref="V13:W28" si="7">V$12</f>
        <v>10</v>
      </c>
      <c r="W13" s="274">
        <f t="shared" si="7"/>
        <v>30</v>
      </c>
      <c r="X13" s="274"/>
      <c r="Y13" s="274">
        <f t="shared" ref="Y13:AA28" si="8">Y$12</f>
        <v>22</v>
      </c>
      <c r="Z13" s="274">
        <f t="shared" si="8"/>
        <v>5</v>
      </c>
      <c r="AA13" s="274">
        <f t="shared" si="8"/>
        <v>35</v>
      </c>
      <c r="AB13" s="274"/>
      <c r="AC13" s="274">
        <f t="shared" ref="AC13:AE28" si="9">AC$12</f>
        <v>22</v>
      </c>
      <c r="AD13" s="274">
        <f t="shared" si="9"/>
        <v>7.5</v>
      </c>
      <c r="AE13" s="274">
        <f t="shared" si="9"/>
        <v>50</v>
      </c>
      <c r="AF13" s="274"/>
      <c r="AG13" s="274">
        <f>AG$12</f>
        <v>4</v>
      </c>
      <c r="AI13" s="279">
        <f>U13*K13/1000</f>
        <v>0</v>
      </c>
      <c r="AJ13" s="279">
        <f>+Y13*L13/1000</f>
        <v>42.134399999999999</v>
      </c>
      <c r="AK13" s="279">
        <f>+AC13*M13/1000</f>
        <v>0</v>
      </c>
      <c r="AL13" s="279">
        <f>+V13*K13/1000</f>
        <v>0</v>
      </c>
      <c r="AM13" s="279">
        <f>Z13+L13/1000</f>
        <v>6.9152000000000005</v>
      </c>
      <c r="AN13" s="279">
        <f>+AD13*M13/1000</f>
        <v>0</v>
      </c>
      <c r="AO13" s="279">
        <f>+W13*K13/1000</f>
        <v>0</v>
      </c>
      <c r="AP13" s="279">
        <f>+AA13*L13/1000</f>
        <v>67.031999999999996</v>
      </c>
      <c r="AQ13" s="279">
        <f>+AE13*M13/1000</f>
        <v>0</v>
      </c>
      <c r="AR13" s="279">
        <f>+AG13*N13/1000</f>
        <v>0</v>
      </c>
      <c r="AT13" s="279">
        <f>SUM(AI13:AK13)</f>
        <v>42.134399999999999</v>
      </c>
      <c r="AU13" s="279">
        <f>SUM(AL13:AN13)</f>
        <v>6.9152000000000005</v>
      </c>
      <c r="AV13" s="279">
        <f>SUM(AO13:AR13)</f>
        <v>67.031999999999996</v>
      </c>
      <c r="AX13" s="329">
        <f>($AX$3*$R13)+(($L13+$M13)/$AX$5*$AX$7)</f>
        <v>10.64</v>
      </c>
      <c r="AY13" s="329">
        <f>($AX$3*$R13)+(($L13+$M13)/$AX$5*$AX$7)</f>
        <v>10.64</v>
      </c>
      <c r="AZ13" s="332">
        <f>AY13*$AZ$3*$AZ$6</f>
        <v>19726.559999999998</v>
      </c>
      <c r="BA13" s="331">
        <f>(AX13*0.3*50+AX13*0.7*22)*$BA$6</f>
        <v>161.72800000000001</v>
      </c>
      <c r="BC13" s="332">
        <f>J13*$BC$3</f>
        <v>19152</v>
      </c>
      <c r="BD13" s="332">
        <f>BC13/$BC$6</f>
        <v>3192</v>
      </c>
    </row>
    <row r="14" spans="1:59" x14ac:dyDescent="0.25">
      <c r="A14" s="247">
        <v>177024</v>
      </c>
      <c r="B14" s="247" t="s">
        <v>140</v>
      </c>
      <c r="C14" s="247" t="s">
        <v>131</v>
      </c>
      <c r="D14" s="247" t="s">
        <v>141</v>
      </c>
      <c r="E14" s="248" t="s">
        <v>173</v>
      </c>
      <c r="F14" s="250">
        <v>1438.7</v>
      </c>
      <c r="G14" s="247" t="s">
        <v>143</v>
      </c>
      <c r="H14" s="247">
        <v>4</v>
      </c>
      <c r="J14" s="250">
        <f t="shared" ref="J14:J68" si="10">H14*F14</f>
        <v>5754.8</v>
      </c>
      <c r="K14" s="250">
        <f t="shared" ref="K14:K71" si="11">IF(C14="Wohnen",J14,0)</f>
        <v>0</v>
      </c>
      <c r="L14" s="250">
        <f t="shared" ref="L14:L71" si="12">IF(C14="Buero/DL",J14,0)</f>
        <v>5754.8</v>
      </c>
      <c r="M14" s="250">
        <f t="shared" ref="M14:M71" si="13">IF(C14="Gewerbe",J14,0)</f>
        <v>0</v>
      </c>
      <c r="N14" s="250">
        <f t="shared" ref="N14:N71" si="14">IF(C14="Parken",J14,0)</f>
        <v>0</v>
      </c>
      <c r="O14" s="263" t="str">
        <f t="shared" ref="O14:O71" si="15">IF(SUM(K14:N14)=J14,"Ok","Fehler")</f>
        <v>Ok</v>
      </c>
      <c r="Q14" s="265">
        <f>K14*'Bedarfsanalyse (Rahmenplan)'!$Q$6</f>
        <v>0</v>
      </c>
      <c r="R14" s="265">
        <f>K14*'Bedarfsanalyse (Rahmenplan)'!$R$6</f>
        <v>0</v>
      </c>
      <c r="S14" s="265">
        <f>(L14+M14)*'Bedarfsanalyse (Rahmenplan)'!$S$6</f>
        <v>110.73172763074287</v>
      </c>
      <c r="U14" s="274">
        <f t="shared" ref="U14:W45" si="16">U$12</f>
        <v>22</v>
      </c>
      <c r="V14" s="274">
        <f t="shared" si="7"/>
        <v>10</v>
      </c>
      <c r="W14" s="274">
        <f t="shared" si="7"/>
        <v>30</v>
      </c>
      <c r="Y14" s="274">
        <f t="shared" si="8"/>
        <v>22</v>
      </c>
      <c r="Z14" s="274">
        <f t="shared" si="8"/>
        <v>5</v>
      </c>
      <c r="AA14" s="274">
        <f t="shared" si="8"/>
        <v>35</v>
      </c>
      <c r="AC14" s="274">
        <f t="shared" si="9"/>
        <v>22</v>
      </c>
      <c r="AD14" s="274">
        <f t="shared" si="9"/>
        <v>7.5</v>
      </c>
      <c r="AE14" s="274">
        <f t="shared" si="9"/>
        <v>50</v>
      </c>
      <c r="AG14" s="274">
        <f t="shared" ref="AG14:AG71" si="17">AG$12</f>
        <v>4</v>
      </c>
      <c r="AI14" s="279">
        <f t="shared" ref="AI14:AI71" si="18">U14*K14/1000</f>
        <v>0</v>
      </c>
      <c r="AJ14" s="279">
        <f t="shared" ref="AJ14:AJ71" si="19">+Y14*L14/1000</f>
        <v>126.60560000000001</v>
      </c>
      <c r="AK14" s="279">
        <f t="shared" ref="AK14:AK71" si="20">+AC14*M14/1000</f>
        <v>0</v>
      </c>
      <c r="AL14" s="279">
        <f t="shared" ref="AL14:AL71" si="21">+V14*K14/1000</f>
        <v>0</v>
      </c>
      <c r="AM14" s="279">
        <f t="shared" ref="AM14:AM71" si="22">Z14+L14/1000</f>
        <v>10.754799999999999</v>
      </c>
      <c r="AN14" s="279">
        <f t="shared" ref="AN14:AN71" si="23">+AD14*M14/1000</f>
        <v>0</v>
      </c>
      <c r="AO14" s="279">
        <f t="shared" ref="AO14:AO71" si="24">+W14*K14/1000</f>
        <v>0</v>
      </c>
      <c r="AP14" s="279">
        <f t="shared" ref="AP14:AP71" si="25">+AA14*L14/1000</f>
        <v>201.41800000000001</v>
      </c>
      <c r="AQ14" s="279">
        <f t="shared" ref="AQ14:AQ71" si="26">+AE14*M14/1000</f>
        <v>0</v>
      </c>
      <c r="AR14" s="279">
        <f t="shared" ref="AR14:AR71" si="27">+AG14*N14/1000</f>
        <v>0</v>
      </c>
      <c r="AT14" s="279">
        <f t="shared" ref="AT14:AT71" si="28">SUM(AI14:AK14)</f>
        <v>126.60560000000001</v>
      </c>
      <c r="AU14" s="279">
        <f t="shared" ref="AU14:AU71" si="29">SUM(AL14:AN14)</f>
        <v>10.754799999999999</v>
      </c>
      <c r="AV14" s="279">
        <f t="shared" ref="AV14:AV71" si="30">SUM(AO14:AR14)</f>
        <v>201.41800000000001</v>
      </c>
      <c r="AX14" s="329">
        <f t="shared" ref="AX14:AY71" si="31">($AX$3*$R14)+(($L14+$M14)/$AX$5*$AX$7)</f>
        <v>31.97111111111111</v>
      </c>
      <c r="AY14" s="329">
        <f t="shared" si="31"/>
        <v>31.97111111111111</v>
      </c>
      <c r="AZ14" s="332">
        <f t="shared" ref="AZ14:AZ71" si="32">AY14*$AZ$3*$AZ$6</f>
        <v>59274.439999999995</v>
      </c>
      <c r="BA14" s="331">
        <f t="shared" ref="BA14:BA71" si="33">(AX14*0.3*50+AX14*0.7*22)*$BA$6</f>
        <v>485.96088888888886</v>
      </c>
      <c r="BC14" s="344">
        <f t="shared" ref="BC14:BC71" si="34">J14*$BC$3</f>
        <v>57548</v>
      </c>
      <c r="BD14" s="344">
        <f t="shared" ref="BD14:BD71" si="35">BC14/$BC$6</f>
        <v>9591.3333333333339</v>
      </c>
    </row>
    <row r="15" spans="1:59" x14ac:dyDescent="0.25">
      <c r="A15" s="247">
        <v>172024</v>
      </c>
      <c r="B15" s="247" t="s">
        <v>140</v>
      </c>
      <c r="C15" s="247" t="s">
        <v>131</v>
      </c>
      <c r="D15" s="247" t="s">
        <v>141</v>
      </c>
      <c r="E15" s="248" t="s">
        <v>174</v>
      </c>
      <c r="F15" s="250">
        <v>735.5</v>
      </c>
      <c r="G15" s="247" t="s">
        <v>143</v>
      </c>
      <c r="H15" s="247">
        <v>4</v>
      </c>
      <c r="J15" s="250">
        <f t="shared" si="10"/>
        <v>2942</v>
      </c>
      <c r="K15" s="250">
        <f t="shared" si="11"/>
        <v>0</v>
      </c>
      <c r="L15" s="250">
        <f t="shared" si="12"/>
        <v>2942</v>
      </c>
      <c r="M15" s="250">
        <f t="shared" si="13"/>
        <v>0</v>
      </c>
      <c r="N15" s="250">
        <f t="shared" si="14"/>
        <v>0</v>
      </c>
      <c r="O15" s="263" t="str">
        <f t="shared" si="15"/>
        <v>Ok</v>
      </c>
      <c r="Q15" s="265">
        <f>K15*'Bedarfsanalyse (Rahmenplan)'!$Q$6</f>
        <v>0</v>
      </c>
      <c r="R15" s="265">
        <f>K15*'Bedarfsanalyse (Rahmenplan)'!$R$6</f>
        <v>0</v>
      </c>
      <c r="S15" s="265">
        <f>(L15+M15)*'Bedarfsanalyse (Rahmenplan)'!$S$6</f>
        <v>56.608873060687685</v>
      </c>
      <c r="U15" s="274">
        <f t="shared" si="16"/>
        <v>22</v>
      </c>
      <c r="V15" s="274">
        <f t="shared" si="7"/>
        <v>10</v>
      </c>
      <c r="W15" s="274">
        <f t="shared" si="7"/>
        <v>30</v>
      </c>
      <c r="Y15" s="274">
        <f t="shared" si="8"/>
        <v>22</v>
      </c>
      <c r="Z15" s="274">
        <f t="shared" si="8"/>
        <v>5</v>
      </c>
      <c r="AA15" s="274">
        <f t="shared" si="8"/>
        <v>35</v>
      </c>
      <c r="AC15" s="274">
        <f t="shared" si="9"/>
        <v>22</v>
      </c>
      <c r="AD15" s="274">
        <f t="shared" si="9"/>
        <v>7.5</v>
      </c>
      <c r="AE15" s="274">
        <f t="shared" si="9"/>
        <v>50</v>
      </c>
      <c r="AG15" s="274">
        <f t="shared" si="17"/>
        <v>4</v>
      </c>
      <c r="AI15" s="279">
        <f t="shared" si="18"/>
        <v>0</v>
      </c>
      <c r="AJ15" s="279">
        <f t="shared" si="19"/>
        <v>64.724000000000004</v>
      </c>
      <c r="AK15" s="279">
        <f t="shared" si="20"/>
        <v>0</v>
      </c>
      <c r="AL15" s="279">
        <f t="shared" si="21"/>
        <v>0</v>
      </c>
      <c r="AM15" s="279">
        <f t="shared" si="22"/>
        <v>7.9420000000000002</v>
      </c>
      <c r="AN15" s="279">
        <f t="shared" si="23"/>
        <v>0</v>
      </c>
      <c r="AO15" s="279">
        <f t="shared" si="24"/>
        <v>0</v>
      </c>
      <c r="AP15" s="279">
        <f t="shared" si="25"/>
        <v>102.97</v>
      </c>
      <c r="AQ15" s="279">
        <f t="shared" si="26"/>
        <v>0</v>
      </c>
      <c r="AR15" s="279">
        <f t="shared" si="27"/>
        <v>0</v>
      </c>
      <c r="AT15" s="279">
        <f t="shared" si="28"/>
        <v>64.724000000000004</v>
      </c>
      <c r="AU15" s="279">
        <f t="shared" si="29"/>
        <v>7.9420000000000002</v>
      </c>
      <c r="AV15" s="279">
        <f t="shared" si="30"/>
        <v>102.97</v>
      </c>
      <c r="AX15" s="329">
        <f t="shared" si="31"/>
        <v>16.344444444444445</v>
      </c>
      <c r="AY15" s="329">
        <f t="shared" si="31"/>
        <v>16.344444444444445</v>
      </c>
      <c r="AZ15" s="332">
        <f t="shared" si="32"/>
        <v>30302.6</v>
      </c>
      <c r="BA15" s="331">
        <f t="shared" si="33"/>
        <v>248.43555555555554</v>
      </c>
      <c r="BC15" s="344">
        <f t="shared" si="34"/>
        <v>29420</v>
      </c>
      <c r="BD15" s="344">
        <f t="shared" si="35"/>
        <v>4903.333333333333</v>
      </c>
    </row>
    <row r="16" spans="1:59" x14ac:dyDescent="0.25">
      <c r="A16" s="247">
        <v>173024</v>
      </c>
      <c r="B16" s="247" t="s">
        <v>140</v>
      </c>
      <c r="C16" s="247" t="s">
        <v>131</v>
      </c>
      <c r="D16" s="247" t="s">
        <v>141</v>
      </c>
      <c r="E16" s="248" t="s">
        <v>175</v>
      </c>
      <c r="F16" s="250">
        <v>579.79999999999995</v>
      </c>
      <c r="G16" s="247" t="s">
        <v>143</v>
      </c>
      <c r="H16" s="247">
        <v>4</v>
      </c>
      <c r="J16" s="250">
        <f t="shared" si="10"/>
        <v>2319.1999999999998</v>
      </c>
      <c r="K16" s="250">
        <f t="shared" si="11"/>
        <v>0</v>
      </c>
      <c r="L16" s="250">
        <f t="shared" si="12"/>
        <v>2319.1999999999998</v>
      </c>
      <c r="M16" s="250">
        <f t="shared" si="13"/>
        <v>0</v>
      </c>
      <c r="N16" s="250">
        <f t="shared" si="14"/>
        <v>0</v>
      </c>
      <c r="O16" s="263" t="str">
        <f t="shared" si="15"/>
        <v>Ok</v>
      </c>
      <c r="Q16" s="265">
        <f>K16*'Bedarfsanalyse (Rahmenplan)'!$Q$6</f>
        <v>0</v>
      </c>
      <c r="R16" s="265">
        <f>K16*'Bedarfsanalyse (Rahmenplan)'!$R$6</f>
        <v>0</v>
      </c>
      <c r="S16" s="265">
        <f>(L16+M16)*'Bedarfsanalyse (Rahmenplan)'!$S$6</f>
        <v>44.625186404604648</v>
      </c>
      <c r="U16" s="274">
        <f t="shared" si="16"/>
        <v>22</v>
      </c>
      <c r="V16" s="274">
        <f t="shared" si="7"/>
        <v>10</v>
      </c>
      <c r="W16" s="274">
        <f t="shared" si="7"/>
        <v>30</v>
      </c>
      <c r="Y16" s="274">
        <f t="shared" si="8"/>
        <v>22</v>
      </c>
      <c r="Z16" s="274">
        <f t="shared" si="8"/>
        <v>5</v>
      </c>
      <c r="AA16" s="274">
        <f t="shared" si="8"/>
        <v>35</v>
      </c>
      <c r="AC16" s="274">
        <f t="shared" si="9"/>
        <v>22</v>
      </c>
      <c r="AD16" s="274">
        <f t="shared" si="9"/>
        <v>7.5</v>
      </c>
      <c r="AE16" s="274">
        <f t="shared" si="9"/>
        <v>50</v>
      </c>
      <c r="AG16" s="274">
        <f t="shared" si="17"/>
        <v>4</v>
      </c>
      <c r="AI16" s="279">
        <f t="shared" si="18"/>
        <v>0</v>
      </c>
      <c r="AJ16" s="279">
        <f t="shared" si="19"/>
        <v>51.022399999999998</v>
      </c>
      <c r="AK16" s="279">
        <f t="shared" si="20"/>
        <v>0</v>
      </c>
      <c r="AL16" s="279">
        <f t="shared" si="21"/>
        <v>0</v>
      </c>
      <c r="AM16" s="279">
        <f t="shared" si="22"/>
        <v>7.3192000000000004</v>
      </c>
      <c r="AN16" s="279">
        <f t="shared" si="23"/>
        <v>0</v>
      </c>
      <c r="AO16" s="279">
        <f t="shared" si="24"/>
        <v>0</v>
      </c>
      <c r="AP16" s="279">
        <f t="shared" si="25"/>
        <v>81.171999999999997</v>
      </c>
      <c r="AQ16" s="279">
        <f t="shared" si="26"/>
        <v>0</v>
      </c>
      <c r="AR16" s="279">
        <f t="shared" si="27"/>
        <v>0</v>
      </c>
      <c r="AT16" s="279">
        <f t="shared" si="28"/>
        <v>51.022399999999998</v>
      </c>
      <c r="AU16" s="279">
        <f t="shared" si="29"/>
        <v>7.3192000000000004</v>
      </c>
      <c r="AV16" s="279">
        <f t="shared" si="30"/>
        <v>81.171999999999997</v>
      </c>
      <c r="AX16" s="329">
        <f t="shared" si="31"/>
        <v>12.884444444444442</v>
      </c>
      <c r="AY16" s="329">
        <f t="shared" si="31"/>
        <v>12.884444444444442</v>
      </c>
      <c r="AZ16" s="332">
        <f t="shared" si="32"/>
        <v>23887.759999999995</v>
      </c>
      <c r="BA16" s="331">
        <f t="shared" si="33"/>
        <v>195.8435555555555</v>
      </c>
      <c r="BC16" s="344">
        <f t="shared" si="34"/>
        <v>23192</v>
      </c>
      <c r="BD16" s="344">
        <f t="shared" si="35"/>
        <v>3865.3333333333335</v>
      </c>
    </row>
    <row r="17" spans="1:56" x14ac:dyDescent="0.25">
      <c r="A17" s="247">
        <v>156023</v>
      </c>
      <c r="B17" s="247" t="s">
        <v>140</v>
      </c>
      <c r="C17" s="247" t="s">
        <v>28</v>
      </c>
      <c r="D17" s="247" t="s">
        <v>144</v>
      </c>
      <c r="E17" s="248" t="s">
        <v>176</v>
      </c>
      <c r="F17" s="250">
        <v>1814.9</v>
      </c>
      <c r="G17" s="247" t="s">
        <v>145</v>
      </c>
      <c r="H17" s="247">
        <v>5</v>
      </c>
      <c r="J17" s="250">
        <f t="shared" si="10"/>
        <v>9074.5</v>
      </c>
      <c r="K17" s="250">
        <f t="shared" si="11"/>
        <v>9074.5</v>
      </c>
      <c r="L17" s="250">
        <f t="shared" si="12"/>
        <v>0</v>
      </c>
      <c r="M17" s="250">
        <f t="shared" si="13"/>
        <v>0</v>
      </c>
      <c r="N17" s="250">
        <f t="shared" si="14"/>
        <v>0</v>
      </c>
      <c r="O17" s="263" t="str">
        <f t="shared" si="15"/>
        <v>Ok</v>
      </c>
      <c r="Q17" s="265">
        <f>K17*'Bedarfsanalyse (Rahmenplan)'!$Q$6</f>
        <v>169.91945507659793</v>
      </c>
      <c r="R17" s="265">
        <f>K17*'Bedarfsanalyse (Rahmenplan)'!$R$6</f>
        <v>77.236115943908146</v>
      </c>
      <c r="S17" s="265">
        <f>(L17+M17)*'Bedarfsanalyse (Rahmenplan)'!$S$6</f>
        <v>0</v>
      </c>
      <c r="U17" s="274">
        <f t="shared" si="16"/>
        <v>22</v>
      </c>
      <c r="V17" s="274">
        <f t="shared" si="7"/>
        <v>10</v>
      </c>
      <c r="W17" s="274">
        <f t="shared" si="7"/>
        <v>30</v>
      </c>
      <c r="Y17" s="274">
        <f t="shared" si="8"/>
        <v>22</v>
      </c>
      <c r="Z17" s="274">
        <f t="shared" si="8"/>
        <v>5</v>
      </c>
      <c r="AA17" s="274">
        <f t="shared" si="8"/>
        <v>35</v>
      </c>
      <c r="AC17" s="274">
        <f t="shared" si="9"/>
        <v>22</v>
      </c>
      <c r="AD17" s="274">
        <f t="shared" si="9"/>
        <v>7.5</v>
      </c>
      <c r="AE17" s="274">
        <f t="shared" si="9"/>
        <v>50</v>
      </c>
      <c r="AG17" s="274">
        <f t="shared" si="17"/>
        <v>4</v>
      </c>
      <c r="AI17" s="279">
        <f t="shared" si="18"/>
        <v>199.63900000000001</v>
      </c>
      <c r="AJ17" s="279">
        <f t="shared" si="19"/>
        <v>0</v>
      </c>
      <c r="AK17" s="279">
        <f t="shared" si="20"/>
        <v>0</v>
      </c>
      <c r="AL17" s="279">
        <f t="shared" si="21"/>
        <v>90.745000000000005</v>
      </c>
      <c r="AM17" s="279">
        <f t="shared" si="22"/>
        <v>5</v>
      </c>
      <c r="AN17" s="279">
        <f t="shared" si="23"/>
        <v>0</v>
      </c>
      <c r="AO17" s="279">
        <f t="shared" si="24"/>
        <v>272.23500000000001</v>
      </c>
      <c r="AP17" s="279">
        <f t="shared" si="25"/>
        <v>0</v>
      </c>
      <c r="AQ17" s="279">
        <f t="shared" si="26"/>
        <v>0</v>
      </c>
      <c r="AR17" s="279">
        <f t="shared" si="27"/>
        <v>0</v>
      </c>
      <c r="AT17" s="279">
        <f t="shared" si="28"/>
        <v>199.63900000000001</v>
      </c>
      <c r="AU17" s="279">
        <f t="shared" si="29"/>
        <v>95.745000000000005</v>
      </c>
      <c r="AV17" s="279">
        <f t="shared" si="30"/>
        <v>272.23500000000001</v>
      </c>
      <c r="AX17" s="329">
        <f t="shared" si="31"/>
        <v>16.21958434822071</v>
      </c>
      <c r="AY17" s="329">
        <f t="shared" si="31"/>
        <v>16.21958434822071</v>
      </c>
      <c r="AZ17" s="332">
        <f t="shared" si="32"/>
        <v>30071.1093816012</v>
      </c>
      <c r="BA17" s="331">
        <f t="shared" si="33"/>
        <v>246.53768209295481</v>
      </c>
      <c r="BC17" s="344">
        <f t="shared" si="34"/>
        <v>90745</v>
      </c>
      <c r="BD17" s="344">
        <f t="shared" si="35"/>
        <v>15124.166666666666</v>
      </c>
    </row>
    <row r="18" spans="1:56" x14ac:dyDescent="0.25">
      <c r="A18" s="247">
        <v>155023</v>
      </c>
      <c r="B18" s="247" t="s">
        <v>140</v>
      </c>
      <c r="C18" s="247" t="s">
        <v>28</v>
      </c>
      <c r="D18" s="247" t="s">
        <v>144</v>
      </c>
      <c r="E18" s="248" t="s">
        <v>177</v>
      </c>
      <c r="F18" s="250">
        <v>1914.8</v>
      </c>
      <c r="G18" s="247" t="s">
        <v>145</v>
      </c>
      <c r="H18" s="247">
        <v>5</v>
      </c>
      <c r="J18" s="250">
        <f t="shared" si="10"/>
        <v>9574</v>
      </c>
      <c r="K18" s="250">
        <f t="shared" si="11"/>
        <v>9574</v>
      </c>
      <c r="L18" s="250">
        <f t="shared" si="12"/>
        <v>0</v>
      </c>
      <c r="M18" s="250">
        <f t="shared" si="13"/>
        <v>0</v>
      </c>
      <c r="N18" s="250">
        <f t="shared" si="14"/>
        <v>0</v>
      </c>
      <c r="O18" s="263" t="str">
        <f t="shared" si="15"/>
        <v>Ok</v>
      </c>
      <c r="Q18" s="265">
        <f>K18*'Bedarfsanalyse (Rahmenplan)'!$Q$6</f>
        <v>179.27256189358627</v>
      </c>
      <c r="R18" s="265">
        <f>K18*'Bedarfsanalyse (Rahmenplan)'!$R$6</f>
        <v>81.487528133448308</v>
      </c>
      <c r="S18" s="265">
        <f>(L18+M18)*'Bedarfsanalyse (Rahmenplan)'!$S$6</f>
        <v>0</v>
      </c>
      <c r="U18" s="274">
        <f t="shared" si="16"/>
        <v>22</v>
      </c>
      <c r="V18" s="274">
        <f t="shared" si="7"/>
        <v>10</v>
      </c>
      <c r="W18" s="274">
        <f t="shared" si="7"/>
        <v>30</v>
      </c>
      <c r="Y18" s="274">
        <f t="shared" si="8"/>
        <v>22</v>
      </c>
      <c r="Z18" s="274">
        <f t="shared" si="8"/>
        <v>5</v>
      </c>
      <c r="AA18" s="274">
        <f t="shared" si="8"/>
        <v>35</v>
      </c>
      <c r="AC18" s="274">
        <f t="shared" si="9"/>
        <v>22</v>
      </c>
      <c r="AD18" s="274">
        <f t="shared" si="9"/>
        <v>7.5</v>
      </c>
      <c r="AE18" s="274">
        <f t="shared" si="9"/>
        <v>50</v>
      </c>
      <c r="AG18" s="274">
        <f t="shared" si="17"/>
        <v>4</v>
      </c>
      <c r="AI18" s="279">
        <f t="shared" si="18"/>
        <v>210.62799999999999</v>
      </c>
      <c r="AJ18" s="279">
        <f t="shared" si="19"/>
        <v>0</v>
      </c>
      <c r="AK18" s="279">
        <f t="shared" si="20"/>
        <v>0</v>
      </c>
      <c r="AL18" s="279">
        <f t="shared" si="21"/>
        <v>95.74</v>
      </c>
      <c r="AM18" s="279">
        <f t="shared" si="22"/>
        <v>5</v>
      </c>
      <c r="AN18" s="279">
        <f t="shared" si="23"/>
        <v>0</v>
      </c>
      <c r="AO18" s="279">
        <f t="shared" si="24"/>
        <v>287.22000000000003</v>
      </c>
      <c r="AP18" s="279">
        <f t="shared" si="25"/>
        <v>0</v>
      </c>
      <c r="AQ18" s="279">
        <f t="shared" si="26"/>
        <v>0</v>
      </c>
      <c r="AR18" s="279">
        <f t="shared" si="27"/>
        <v>0</v>
      </c>
      <c r="AT18" s="279">
        <f t="shared" si="28"/>
        <v>210.62799999999999</v>
      </c>
      <c r="AU18" s="279">
        <f t="shared" si="29"/>
        <v>100.74</v>
      </c>
      <c r="AV18" s="279">
        <f t="shared" si="30"/>
        <v>287.22000000000003</v>
      </c>
      <c r="AX18" s="329">
        <f t="shared" si="31"/>
        <v>17.112380908024143</v>
      </c>
      <c r="AY18" s="329">
        <f t="shared" si="31"/>
        <v>17.112380908024143</v>
      </c>
      <c r="AZ18" s="332">
        <f t="shared" si="32"/>
        <v>31726.354203476763</v>
      </c>
      <c r="BA18" s="331">
        <f t="shared" si="33"/>
        <v>260.108189801967</v>
      </c>
      <c r="BC18" s="344">
        <f t="shared" si="34"/>
        <v>95740</v>
      </c>
      <c r="BD18" s="344">
        <f t="shared" si="35"/>
        <v>15956.666666666666</v>
      </c>
    </row>
    <row r="19" spans="1:56" x14ac:dyDescent="0.25">
      <c r="A19" s="247">
        <v>154024</v>
      </c>
      <c r="B19" s="247" t="s">
        <v>140</v>
      </c>
      <c r="C19" s="247" t="s">
        <v>131</v>
      </c>
      <c r="D19" s="247" t="s">
        <v>144</v>
      </c>
      <c r="E19" s="248" t="s">
        <v>178</v>
      </c>
      <c r="F19" s="250">
        <v>874.2</v>
      </c>
      <c r="G19" s="247" t="s">
        <v>146</v>
      </c>
      <c r="H19" s="247">
        <v>5</v>
      </c>
      <c r="J19" s="250">
        <f t="shared" si="10"/>
        <v>4371</v>
      </c>
      <c r="K19" s="250">
        <f t="shared" si="11"/>
        <v>0</v>
      </c>
      <c r="L19" s="250">
        <f t="shared" si="12"/>
        <v>4371</v>
      </c>
      <c r="M19" s="250">
        <f t="shared" si="13"/>
        <v>0</v>
      </c>
      <c r="N19" s="250">
        <f t="shared" si="14"/>
        <v>0</v>
      </c>
      <c r="O19" s="263" t="str">
        <f t="shared" si="15"/>
        <v>Ok</v>
      </c>
      <c r="Q19" s="265">
        <f>K19*'Bedarfsanalyse (Rahmenplan)'!$Q$6</f>
        <v>0</v>
      </c>
      <c r="R19" s="265">
        <f>K19*'Bedarfsanalyse (Rahmenplan)'!$R$6</f>
        <v>0</v>
      </c>
      <c r="S19" s="265">
        <f>(L19+M19)*'Bedarfsanalyse (Rahmenplan)'!$S$6</f>
        <v>84.105161165284116</v>
      </c>
      <c r="U19" s="274">
        <f t="shared" si="16"/>
        <v>22</v>
      </c>
      <c r="V19" s="274">
        <f t="shared" si="7"/>
        <v>10</v>
      </c>
      <c r="W19" s="274">
        <f t="shared" si="7"/>
        <v>30</v>
      </c>
      <c r="Y19" s="274">
        <f t="shared" si="8"/>
        <v>22</v>
      </c>
      <c r="Z19" s="274">
        <f t="shared" si="8"/>
        <v>5</v>
      </c>
      <c r="AA19" s="274">
        <f t="shared" si="8"/>
        <v>35</v>
      </c>
      <c r="AC19" s="274">
        <f t="shared" si="9"/>
        <v>22</v>
      </c>
      <c r="AD19" s="274">
        <f t="shared" si="9"/>
        <v>7.5</v>
      </c>
      <c r="AE19" s="274">
        <f t="shared" si="9"/>
        <v>50</v>
      </c>
      <c r="AG19" s="274">
        <f t="shared" si="17"/>
        <v>4</v>
      </c>
      <c r="AI19" s="279">
        <f t="shared" si="18"/>
        <v>0</v>
      </c>
      <c r="AJ19" s="279">
        <f t="shared" si="19"/>
        <v>96.162000000000006</v>
      </c>
      <c r="AK19" s="279">
        <f t="shared" si="20"/>
        <v>0</v>
      </c>
      <c r="AL19" s="279">
        <f t="shared" si="21"/>
        <v>0</v>
      </c>
      <c r="AM19" s="279">
        <f t="shared" si="22"/>
        <v>9.3710000000000004</v>
      </c>
      <c r="AN19" s="279">
        <f t="shared" si="23"/>
        <v>0</v>
      </c>
      <c r="AO19" s="279">
        <f t="shared" si="24"/>
        <v>0</v>
      </c>
      <c r="AP19" s="279">
        <f t="shared" si="25"/>
        <v>152.98500000000001</v>
      </c>
      <c r="AQ19" s="279">
        <f t="shared" si="26"/>
        <v>0</v>
      </c>
      <c r="AR19" s="279">
        <f t="shared" si="27"/>
        <v>0</v>
      </c>
      <c r="AT19" s="279">
        <f t="shared" si="28"/>
        <v>96.162000000000006</v>
      </c>
      <c r="AU19" s="279">
        <f t="shared" si="29"/>
        <v>9.3710000000000004</v>
      </c>
      <c r="AV19" s="279">
        <f t="shared" si="30"/>
        <v>152.98500000000001</v>
      </c>
      <c r="AX19" s="329">
        <f t="shared" si="31"/>
        <v>24.283333333333331</v>
      </c>
      <c r="AY19" s="329">
        <f t="shared" si="31"/>
        <v>24.283333333333331</v>
      </c>
      <c r="AZ19" s="332">
        <f t="shared" si="32"/>
        <v>45021.299999999996</v>
      </c>
      <c r="BA19" s="331">
        <f t="shared" si="33"/>
        <v>369.10666666666663</v>
      </c>
      <c r="BC19" s="344">
        <f t="shared" si="34"/>
        <v>43710</v>
      </c>
      <c r="BD19" s="344">
        <f t="shared" si="35"/>
        <v>7285</v>
      </c>
    </row>
    <row r="20" spans="1:56" x14ac:dyDescent="0.25">
      <c r="A20" s="247">
        <v>152024</v>
      </c>
      <c r="B20" s="247" t="s">
        <v>140</v>
      </c>
      <c r="C20" s="247" t="s">
        <v>131</v>
      </c>
      <c r="D20" s="247" t="s">
        <v>144</v>
      </c>
      <c r="E20" s="248" t="s">
        <v>179</v>
      </c>
      <c r="F20" s="250">
        <v>1767.3</v>
      </c>
      <c r="G20" s="247" t="s">
        <v>147</v>
      </c>
      <c r="H20" s="247">
        <v>5</v>
      </c>
      <c r="J20" s="250">
        <f t="shared" si="10"/>
        <v>8836.5</v>
      </c>
      <c r="K20" s="250">
        <f t="shared" si="11"/>
        <v>0</v>
      </c>
      <c r="L20" s="250">
        <f t="shared" si="12"/>
        <v>8836.5</v>
      </c>
      <c r="M20" s="250">
        <f t="shared" si="13"/>
        <v>0</v>
      </c>
      <c r="N20" s="250">
        <f t="shared" si="14"/>
        <v>0</v>
      </c>
      <c r="O20" s="263" t="str">
        <f t="shared" si="15"/>
        <v>Ok</v>
      </c>
      <c r="Q20" s="265">
        <f>K20*'Bedarfsanalyse (Rahmenplan)'!$Q$6</f>
        <v>0</v>
      </c>
      <c r="R20" s="265">
        <f>K20*'Bedarfsanalyse (Rahmenplan)'!$R$6</f>
        <v>0</v>
      </c>
      <c r="S20" s="265">
        <f>(L20+M20)*'Bedarfsanalyse (Rahmenplan)'!$S$6</f>
        <v>170.02865628849992</v>
      </c>
      <c r="U20" s="274">
        <f t="shared" si="16"/>
        <v>22</v>
      </c>
      <c r="V20" s="274">
        <f t="shared" si="7"/>
        <v>10</v>
      </c>
      <c r="W20" s="274">
        <f t="shared" si="7"/>
        <v>30</v>
      </c>
      <c r="Y20" s="274">
        <f t="shared" si="8"/>
        <v>22</v>
      </c>
      <c r="Z20" s="274">
        <f t="shared" si="8"/>
        <v>5</v>
      </c>
      <c r="AA20" s="274">
        <f t="shared" si="8"/>
        <v>35</v>
      </c>
      <c r="AC20" s="274">
        <f t="shared" si="9"/>
        <v>22</v>
      </c>
      <c r="AD20" s="274">
        <f t="shared" si="9"/>
        <v>7.5</v>
      </c>
      <c r="AE20" s="274">
        <f t="shared" si="9"/>
        <v>50</v>
      </c>
      <c r="AG20" s="274">
        <f t="shared" si="17"/>
        <v>4</v>
      </c>
      <c r="AI20" s="279">
        <f t="shared" si="18"/>
        <v>0</v>
      </c>
      <c r="AJ20" s="279">
        <f t="shared" si="19"/>
        <v>194.40299999999999</v>
      </c>
      <c r="AK20" s="279">
        <f t="shared" si="20"/>
        <v>0</v>
      </c>
      <c r="AL20" s="279">
        <f t="shared" si="21"/>
        <v>0</v>
      </c>
      <c r="AM20" s="279">
        <f t="shared" si="22"/>
        <v>13.836499999999999</v>
      </c>
      <c r="AN20" s="279">
        <f t="shared" si="23"/>
        <v>0</v>
      </c>
      <c r="AO20" s="279">
        <f t="shared" si="24"/>
        <v>0</v>
      </c>
      <c r="AP20" s="279">
        <f t="shared" si="25"/>
        <v>309.27749999999997</v>
      </c>
      <c r="AQ20" s="279">
        <f t="shared" si="26"/>
        <v>0</v>
      </c>
      <c r="AR20" s="279">
        <f t="shared" si="27"/>
        <v>0</v>
      </c>
      <c r="AT20" s="279">
        <f t="shared" si="28"/>
        <v>194.40299999999999</v>
      </c>
      <c r="AU20" s="279">
        <f t="shared" si="29"/>
        <v>13.836499999999999</v>
      </c>
      <c r="AV20" s="279">
        <f t="shared" si="30"/>
        <v>309.27749999999997</v>
      </c>
      <c r="AX20" s="329">
        <f t="shared" si="31"/>
        <v>49.091666666666661</v>
      </c>
      <c r="AY20" s="329">
        <f t="shared" si="31"/>
        <v>49.091666666666661</v>
      </c>
      <c r="AZ20" s="332">
        <f t="shared" si="32"/>
        <v>91015.949999999983</v>
      </c>
      <c r="BA20" s="331">
        <f t="shared" si="33"/>
        <v>746.19333333333316</v>
      </c>
      <c r="BC20" s="344">
        <f t="shared" si="34"/>
        <v>88365</v>
      </c>
      <c r="BD20" s="344">
        <f t="shared" si="35"/>
        <v>14727.5</v>
      </c>
    </row>
    <row r="21" spans="1:56" x14ac:dyDescent="0.25">
      <c r="A21" s="247">
        <v>153024</v>
      </c>
      <c r="B21" s="247" t="s">
        <v>140</v>
      </c>
      <c r="C21" s="247" t="s">
        <v>131</v>
      </c>
      <c r="D21" s="247" t="s">
        <v>144</v>
      </c>
      <c r="E21" s="248" t="s">
        <v>180</v>
      </c>
      <c r="F21" s="250">
        <v>1569.8</v>
      </c>
      <c r="G21" s="247" t="s">
        <v>147</v>
      </c>
      <c r="H21" s="247">
        <v>5</v>
      </c>
      <c r="J21" s="250">
        <f t="shared" si="10"/>
        <v>7849</v>
      </c>
      <c r="K21" s="250">
        <f t="shared" si="11"/>
        <v>0</v>
      </c>
      <c r="L21" s="250">
        <f t="shared" si="12"/>
        <v>7849</v>
      </c>
      <c r="M21" s="250">
        <f t="shared" si="13"/>
        <v>0</v>
      </c>
      <c r="N21" s="250">
        <f t="shared" si="14"/>
        <v>0</v>
      </c>
      <c r="O21" s="263" t="str">
        <f t="shared" si="15"/>
        <v>Ok</v>
      </c>
      <c r="Q21" s="265">
        <f>K21*'Bedarfsanalyse (Rahmenplan)'!$Q$6</f>
        <v>0</v>
      </c>
      <c r="R21" s="265">
        <f>K21*'Bedarfsanalyse (Rahmenplan)'!$R$6</f>
        <v>0</v>
      </c>
      <c r="S21" s="265">
        <f>(L21+M21)*'Bedarfsanalyse (Rahmenplan)'!$S$6</f>
        <v>151.02754746884352</v>
      </c>
      <c r="U21" s="274">
        <f t="shared" si="16"/>
        <v>22</v>
      </c>
      <c r="V21" s="274">
        <f t="shared" si="7"/>
        <v>10</v>
      </c>
      <c r="W21" s="274">
        <f t="shared" si="7"/>
        <v>30</v>
      </c>
      <c r="Y21" s="274">
        <f t="shared" si="8"/>
        <v>22</v>
      </c>
      <c r="Z21" s="274">
        <f t="shared" si="8"/>
        <v>5</v>
      </c>
      <c r="AA21" s="274">
        <f t="shared" si="8"/>
        <v>35</v>
      </c>
      <c r="AC21" s="274">
        <f t="shared" si="9"/>
        <v>22</v>
      </c>
      <c r="AD21" s="274">
        <f t="shared" si="9"/>
        <v>7.5</v>
      </c>
      <c r="AE21" s="274">
        <f t="shared" si="9"/>
        <v>50</v>
      </c>
      <c r="AG21" s="274">
        <f t="shared" si="17"/>
        <v>4</v>
      </c>
      <c r="AI21" s="279">
        <f t="shared" si="18"/>
        <v>0</v>
      </c>
      <c r="AJ21" s="279">
        <f t="shared" si="19"/>
        <v>172.678</v>
      </c>
      <c r="AK21" s="279">
        <f t="shared" si="20"/>
        <v>0</v>
      </c>
      <c r="AL21" s="279">
        <f t="shared" si="21"/>
        <v>0</v>
      </c>
      <c r="AM21" s="279">
        <f t="shared" si="22"/>
        <v>12.849</v>
      </c>
      <c r="AN21" s="279">
        <f t="shared" si="23"/>
        <v>0</v>
      </c>
      <c r="AO21" s="279">
        <f t="shared" si="24"/>
        <v>0</v>
      </c>
      <c r="AP21" s="279">
        <f t="shared" si="25"/>
        <v>274.71499999999997</v>
      </c>
      <c r="AQ21" s="279">
        <f t="shared" si="26"/>
        <v>0</v>
      </c>
      <c r="AR21" s="279">
        <f t="shared" si="27"/>
        <v>0</v>
      </c>
      <c r="AT21" s="279">
        <f t="shared" si="28"/>
        <v>172.678</v>
      </c>
      <c r="AU21" s="279">
        <f t="shared" si="29"/>
        <v>12.849</v>
      </c>
      <c r="AV21" s="279">
        <f t="shared" si="30"/>
        <v>274.71499999999997</v>
      </c>
      <c r="AX21" s="329">
        <f t="shared" si="31"/>
        <v>43.605555555555554</v>
      </c>
      <c r="AY21" s="329">
        <f t="shared" si="31"/>
        <v>43.605555555555554</v>
      </c>
      <c r="AZ21" s="332">
        <f t="shared" si="32"/>
        <v>80844.7</v>
      </c>
      <c r="BA21" s="331">
        <f t="shared" si="33"/>
        <v>662.80444444444447</v>
      </c>
      <c r="BC21" s="344">
        <f t="shared" si="34"/>
        <v>78490</v>
      </c>
      <c r="BD21" s="344">
        <f t="shared" si="35"/>
        <v>13081.666666666666</v>
      </c>
    </row>
    <row r="22" spans="1:56" x14ac:dyDescent="0.25">
      <c r="A22" s="247">
        <v>141021</v>
      </c>
      <c r="B22" s="247" t="s">
        <v>140</v>
      </c>
      <c r="C22" s="247" t="s">
        <v>30</v>
      </c>
      <c r="D22" s="247">
        <v>1</v>
      </c>
      <c r="E22" s="248" t="s">
        <v>181</v>
      </c>
      <c r="F22" s="250">
        <v>2295.9</v>
      </c>
      <c r="G22" s="247" t="s">
        <v>148</v>
      </c>
      <c r="H22" s="247">
        <v>5</v>
      </c>
      <c r="J22" s="250">
        <f t="shared" si="10"/>
        <v>11479.5</v>
      </c>
      <c r="K22" s="250">
        <f t="shared" si="11"/>
        <v>0</v>
      </c>
      <c r="L22" s="250">
        <f t="shared" si="12"/>
        <v>0</v>
      </c>
      <c r="M22" s="250">
        <f t="shared" si="13"/>
        <v>11479.5</v>
      </c>
      <c r="N22" s="250">
        <f t="shared" si="14"/>
        <v>0</v>
      </c>
      <c r="O22" s="263" t="str">
        <f t="shared" si="15"/>
        <v>Ok</v>
      </c>
      <c r="Q22" s="265">
        <f>K22*'Bedarfsanalyse (Rahmenplan)'!$Q$6</f>
        <v>0</v>
      </c>
      <c r="R22" s="265">
        <f>K22*'Bedarfsanalyse (Rahmenplan)'!$R$6</f>
        <v>0</v>
      </c>
      <c r="S22" s="265">
        <f>(L22+M22)*'Bedarfsanalyse (Rahmenplan)'!$S$6</f>
        <v>220.88428222303341</v>
      </c>
      <c r="U22" s="274">
        <f t="shared" si="16"/>
        <v>22</v>
      </c>
      <c r="V22" s="274">
        <f t="shared" si="7"/>
        <v>10</v>
      </c>
      <c r="W22" s="274">
        <f t="shared" si="7"/>
        <v>30</v>
      </c>
      <c r="Y22" s="274">
        <f t="shared" si="8"/>
        <v>22</v>
      </c>
      <c r="Z22" s="274">
        <f t="shared" si="8"/>
        <v>5</v>
      </c>
      <c r="AA22" s="274">
        <f t="shared" si="8"/>
        <v>35</v>
      </c>
      <c r="AC22" s="274">
        <f t="shared" si="9"/>
        <v>22</v>
      </c>
      <c r="AD22" s="274">
        <f t="shared" si="9"/>
        <v>7.5</v>
      </c>
      <c r="AE22" s="274">
        <f t="shared" si="9"/>
        <v>50</v>
      </c>
      <c r="AG22" s="274">
        <f t="shared" si="17"/>
        <v>4</v>
      </c>
      <c r="AI22" s="279">
        <f t="shared" si="18"/>
        <v>0</v>
      </c>
      <c r="AJ22" s="279">
        <f t="shared" si="19"/>
        <v>0</v>
      </c>
      <c r="AK22" s="279">
        <f t="shared" si="20"/>
        <v>252.54900000000001</v>
      </c>
      <c r="AL22" s="279">
        <f t="shared" si="21"/>
        <v>0</v>
      </c>
      <c r="AM22" s="279">
        <f t="shared" si="22"/>
        <v>5</v>
      </c>
      <c r="AN22" s="279">
        <f t="shared" si="23"/>
        <v>86.096249999999998</v>
      </c>
      <c r="AO22" s="279">
        <f t="shared" si="24"/>
        <v>0</v>
      </c>
      <c r="AP22" s="279">
        <f t="shared" si="25"/>
        <v>0</v>
      </c>
      <c r="AQ22" s="279">
        <f t="shared" si="26"/>
        <v>573.97500000000002</v>
      </c>
      <c r="AR22" s="279">
        <f t="shared" si="27"/>
        <v>0</v>
      </c>
      <c r="AT22" s="279">
        <f t="shared" si="28"/>
        <v>252.54900000000001</v>
      </c>
      <c r="AU22" s="279">
        <f t="shared" si="29"/>
        <v>91.096249999999998</v>
      </c>
      <c r="AV22" s="279">
        <f t="shared" si="30"/>
        <v>573.97500000000002</v>
      </c>
      <c r="AX22" s="329">
        <f t="shared" si="31"/>
        <v>63.774999999999999</v>
      </c>
      <c r="AY22" s="329">
        <f t="shared" si="31"/>
        <v>63.774999999999999</v>
      </c>
      <c r="AZ22" s="332">
        <f t="shared" si="32"/>
        <v>118238.84999999999</v>
      </c>
      <c r="BA22" s="331">
        <f t="shared" si="33"/>
        <v>969.38</v>
      </c>
      <c r="BC22" s="344">
        <f t="shared" si="34"/>
        <v>114795</v>
      </c>
      <c r="BD22" s="344">
        <f t="shared" si="35"/>
        <v>19132.5</v>
      </c>
    </row>
    <row r="23" spans="1:56" x14ac:dyDescent="0.25">
      <c r="A23" s="280">
        <v>142022</v>
      </c>
      <c r="B23" s="280" t="s">
        <v>140</v>
      </c>
      <c r="C23" s="280" t="s">
        <v>31</v>
      </c>
      <c r="D23" s="280">
        <v>1</v>
      </c>
      <c r="E23" s="281" t="s">
        <v>182</v>
      </c>
      <c r="F23" s="282">
        <v>1726</v>
      </c>
      <c r="G23" s="280" t="s">
        <v>149</v>
      </c>
      <c r="H23" s="280">
        <v>5</v>
      </c>
      <c r="I23" s="280"/>
      <c r="J23" s="282">
        <f t="shared" si="10"/>
        <v>8630</v>
      </c>
      <c r="K23" s="282">
        <f t="shared" si="11"/>
        <v>0</v>
      </c>
      <c r="L23" s="282">
        <f t="shared" si="12"/>
        <v>0</v>
      </c>
      <c r="M23" s="282">
        <f t="shared" si="13"/>
        <v>0</v>
      </c>
      <c r="N23" s="282">
        <f t="shared" si="14"/>
        <v>8630</v>
      </c>
      <c r="O23" s="283" t="str">
        <f t="shared" si="15"/>
        <v>Ok</v>
      </c>
      <c r="P23" s="280"/>
      <c r="Q23" s="284">
        <f>K23*'Bedarfsanalyse (Rahmenplan)'!$Q$6</f>
        <v>0</v>
      </c>
      <c r="R23" s="284">
        <f>K23*'Bedarfsanalyse (Rahmenplan)'!$R$6</f>
        <v>0</v>
      </c>
      <c r="S23" s="284">
        <f>(L23+M23)*'Bedarfsanalyse (Rahmenplan)'!$S$6</f>
        <v>0</v>
      </c>
      <c r="T23" s="280"/>
      <c r="U23" s="285">
        <f t="shared" si="16"/>
        <v>22</v>
      </c>
      <c r="V23" s="285">
        <f t="shared" si="7"/>
        <v>10</v>
      </c>
      <c r="W23" s="285">
        <f t="shared" si="7"/>
        <v>30</v>
      </c>
      <c r="X23" s="280"/>
      <c r="Y23" s="285">
        <f t="shared" si="8"/>
        <v>22</v>
      </c>
      <c r="Z23" s="285">
        <f t="shared" si="8"/>
        <v>5</v>
      </c>
      <c r="AA23" s="285">
        <f t="shared" si="8"/>
        <v>35</v>
      </c>
      <c r="AB23" s="280"/>
      <c r="AC23" s="285">
        <f t="shared" si="9"/>
        <v>22</v>
      </c>
      <c r="AD23" s="285">
        <f t="shared" si="9"/>
        <v>7.5</v>
      </c>
      <c r="AE23" s="285">
        <f t="shared" si="9"/>
        <v>50</v>
      </c>
      <c r="AF23" s="280"/>
      <c r="AG23" s="285">
        <f t="shared" si="17"/>
        <v>4</v>
      </c>
      <c r="AH23" s="286"/>
      <c r="AI23" s="287">
        <f t="shared" si="18"/>
        <v>0</v>
      </c>
      <c r="AJ23" s="287">
        <f t="shared" si="19"/>
        <v>0</v>
      </c>
      <c r="AK23" s="287">
        <f t="shared" si="20"/>
        <v>0</v>
      </c>
      <c r="AL23" s="287">
        <f t="shared" si="21"/>
        <v>0</v>
      </c>
      <c r="AM23" s="287">
        <f t="shared" si="22"/>
        <v>5</v>
      </c>
      <c r="AN23" s="287">
        <f t="shared" si="23"/>
        <v>0</v>
      </c>
      <c r="AO23" s="287">
        <f t="shared" si="24"/>
        <v>0</v>
      </c>
      <c r="AP23" s="287">
        <f t="shared" si="25"/>
        <v>0</v>
      </c>
      <c r="AQ23" s="287">
        <f t="shared" si="26"/>
        <v>0</v>
      </c>
      <c r="AR23" s="287">
        <f t="shared" si="27"/>
        <v>34.520000000000003</v>
      </c>
      <c r="AS23" s="286"/>
      <c r="AT23" s="287">
        <f t="shared" si="28"/>
        <v>0</v>
      </c>
      <c r="AU23" s="287">
        <f t="shared" si="29"/>
        <v>5</v>
      </c>
      <c r="AV23" s="287">
        <f t="shared" si="30"/>
        <v>34.520000000000003</v>
      </c>
      <c r="AW23" s="334"/>
      <c r="AX23" s="335">
        <f t="shared" si="31"/>
        <v>0</v>
      </c>
      <c r="AY23" s="335">
        <f t="shared" si="31"/>
        <v>0</v>
      </c>
      <c r="AZ23" s="336">
        <f t="shared" si="32"/>
        <v>0</v>
      </c>
      <c r="BA23" s="337">
        <f t="shared" si="33"/>
        <v>0</v>
      </c>
      <c r="BB23" s="334"/>
      <c r="BC23" s="345">
        <f t="shared" si="34"/>
        <v>86300</v>
      </c>
      <c r="BD23" s="345">
        <f t="shared" si="35"/>
        <v>14383.333333333334</v>
      </c>
    </row>
    <row r="24" spans="1:56" x14ac:dyDescent="0.25">
      <c r="A24" s="247">
        <v>181024</v>
      </c>
      <c r="B24" s="247" t="s">
        <v>140</v>
      </c>
      <c r="C24" s="247" t="s">
        <v>131</v>
      </c>
      <c r="D24" s="247" t="s">
        <v>150</v>
      </c>
      <c r="E24" s="248" t="s">
        <v>183</v>
      </c>
      <c r="F24" s="250">
        <v>1415.6</v>
      </c>
      <c r="G24" s="247" t="s">
        <v>151</v>
      </c>
      <c r="H24" s="247">
        <v>4</v>
      </c>
      <c r="J24" s="250">
        <f t="shared" si="10"/>
        <v>5662.4</v>
      </c>
      <c r="K24" s="250">
        <f t="shared" si="11"/>
        <v>0</v>
      </c>
      <c r="L24" s="250">
        <f t="shared" si="12"/>
        <v>5662.4</v>
      </c>
      <c r="M24" s="250">
        <f t="shared" si="13"/>
        <v>0</v>
      </c>
      <c r="N24" s="250">
        <f t="shared" si="14"/>
        <v>0</v>
      </c>
      <c r="O24" s="263" t="str">
        <f t="shared" si="15"/>
        <v>Ok</v>
      </c>
      <c r="Q24" s="265">
        <f>K24*'Bedarfsanalyse (Rahmenplan)'!$Q$6</f>
        <v>0</v>
      </c>
      <c r="R24" s="265">
        <f>K24*'Bedarfsanalyse (Rahmenplan)'!$R$6</f>
        <v>0</v>
      </c>
      <c r="S24" s="265">
        <f>(L24+M24)*'Bedarfsanalyse (Rahmenplan)'!$S$6</f>
        <v>108.95380109409855</v>
      </c>
      <c r="U24" s="274">
        <f t="shared" si="16"/>
        <v>22</v>
      </c>
      <c r="V24" s="274">
        <f t="shared" si="7"/>
        <v>10</v>
      </c>
      <c r="W24" s="274">
        <f t="shared" si="7"/>
        <v>30</v>
      </c>
      <c r="Y24" s="274">
        <f t="shared" si="8"/>
        <v>22</v>
      </c>
      <c r="Z24" s="274">
        <f t="shared" si="8"/>
        <v>5</v>
      </c>
      <c r="AA24" s="274">
        <f t="shared" si="8"/>
        <v>35</v>
      </c>
      <c r="AC24" s="274">
        <f t="shared" si="9"/>
        <v>22</v>
      </c>
      <c r="AD24" s="274">
        <f t="shared" si="9"/>
        <v>7.5</v>
      </c>
      <c r="AE24" s="274">
        <f t="shared" si="9"/>
        <v>50</v>
      </c>
      <c r="AG24" s="274">
        <f t="shared" si="17"/>
        <v>4</v>
      </c>
      <c r="AI24" s="279">
        <f t="shared" si="18"/>
        <v>0</v>
      </c>
      <c r="AJ24" s="279">
        <f t="shared" si="19"/>
        <v>124.57279999999999</v>
      </c>
      <c r="AK24" s="279">
        <f t="shared" si="20"/>
        <v>0</v>
      </c>
      <c r="AL24" s="279">
        <f t="shared" si="21"/>
        <v>0</v>
      </c>
      <c r="AM24" s="279">
        <f t="shared" si="22"/>
        <v>10.6624</v>
      </c>
      <c r="AN24" s="279">
        <f t="shared" si="23"/>
        <v>0</v>
      </c>
      <c r="AO24" s="279">
        <f t="shared" si="24"/>
        <v>0</v>
      </c>
      <c r="AP24" s="279">
        <f t="shared" si="25"/>
        <v>198.184</v>
      </c>
      <c r="AQ24" s="279">
        <f t="shared" si="26"/>
        <v>0</v>
      </c>
      <c r="AR24" s="279">
        <f t="shared" si="27"/>
        <v>0</v>
      </c>
      <c r="AT24" s="279">
        <f t="shared" si="28"/>
        <v>124.57279999999999</v>
      </c>
      <c r="AU24" s="279">
        <f t="shared" si="29"/>
        <v>10.6624</v>
      </c>
      <c r="AV24" s="279">
        <f t="shared" si="30"/>
        <v>198.184</v>
      </c>
      <c r="AX24" s="329">
        <f t="shared" si="31"/>
        <v>31.457777777777771</v>
      </c>
      <c r="AY24" s="329">
        <f t="shared" si="31"/>
        <v>31.457777777777771</v>
      </c>
      <c r="AZ24" s="332">
        <f t="shared" si="32"/>
        <v>58322.719999999987</v>
      </c>
      <c r="BA24" s="331">
        <f t="shared" si="33"/>
        <v>478.15822222222209</v>
      </c>
      <c r="BC24" s="344">
        <f t="shared" si="34"/>
        <v>56624</v>
      </c>
      <c r="BD24" s="344">
        <f t="shared" si="35"/>
        <v>9437.3333333333339</v>
      </c>
    </row>
    <row r="25" spans="1:56" x14ac:dyDescent="0.25">
      <c r="A25" s="247">
        <v>182024</v>
      </c>
      <c r="B25" s="247" t="s">
        <v>140</v>
      </c>
      <c r="C25" s="247" t="s">
        <v>131</v>
      </c>
      <c r="D25" s="247" t="s">
        <v>150</v>
      </c>
      <c r="E25" s="248" t="s">
        <v>184</v>
      </c>
      <c r="F25" s="250">
        <v>560.29999999999995</v>
      </c>
      <c r="G25" s="247" t="s">
        <v>151</v>
      </c>
      <c r="H25" s="247">
        <v>4</v>
      </c>
      <c r="J25" s="250">
        <f t="shared" si="10"/>
        <v>2241.1999999999998</v>
      </c>
      <c r="K25" s="250">
        <f t="shared" si="11"/>
        <v>0</v>
      </c>
      <c r="L25" s="250">
        <f t="shared" si="12"/>
        <v>2241.1999999999998</v>
      </c>
      <c r="M25" s="250">
        <f t="shared" si="13"/>
        <v>0</v>
      </c>
      <c r="N25" s="250">
        <f t="shared" si="14"/>
        <v>0</v>
      </c>
      <c r="O25" s="263" t="str">
        <f t="shared" si="15"/>
        <v>Ok</v>
      </c>
      <c r="Q25" s="265">
        <f>K25*'Bedarfsanalyse (Rahmenplan)'!$Q$6</f>
        <v>0</v>
      </c>
      <c r="R25" s="265">
        <f>K25*'Bedarfsanalyse (Rahmenplan)'!$R$6</f>
        <v>0</v>
      </c>
      <c r="S25" s="265">
        <f>(L25+M25)*'Bedarfsanalyse (Rahmenplan)'!$S$6</f>
        <v>43.1243393282166</v>
      </c>
      <c r="U25" s="274">
        <f t="shared" si="16"/>
        <v>22</v>
      </c>
      <c r="V25" s="274">
        <f t="shared" si="7"/>
        <v>10</v>
      </c>
      <c r="W25" s="274">
        <f t="shared" si="7"/>
        <v>30</v>
      </c>
      <c r="Y25" s="274">
        <f t="shared" si="8"/>
        <v>22</v>
      </c>
      <c r="Z25" s="274">
        <f t="shared" si="8"/>
        <v>5</v>
      </c>
      <c r="AA25" s="274">
        <f t="shared" si="8"/>
        <v>35</v>
      </c>
      <c r="AC25" s="274">
        <f t="shared" si="9"/>
        <v>22</v>
      </c>
      <c r="AD25" s="274">
        <f t="shared" si="9"/>
        <v>7.5</v>
      </c>
      <c r="AE25" s="274">
        <f t="shared" si="9"/>
        <v>50</v>
      </c>
      <c r="AG25" s="274">
        <f t="shared" si="17"/>
        <v>4</v>
      </c>
      <c r="AI25" s="279">
        <f t="shared" si="18"/>
        <v>0</v>
      </c>
      <c r="AJ25" s="279">
        <f t="shared" si="19"/>
        <v>49.306399999999996</v>
      </c>
      <c r="AK25" s="279">
        <f t="shared" si="20"/>
        <v>0</v>
      </c>
      <c r="AL25" s="279">
        <f t="shared" si="21"/>
        <v>0</v>
      </c>
      <c r="AM25" s="279">
        <f t="shared" si="22"/>
        <v>7.2411999999999992</v>
      </c>
      <c r="AN25" s="279">
        <f t="shared" si="23"/>
        <v>0</v>
      </c>
      <c r="AO25" s="279">
        <f t="shared" si="24"/>
        <v>0</v>
      </c>
      <c r="AP25" s="279">
        <f t="shared" si="25"/>
        <v>78.441999999999993</v>
      </c>
      <c r="AQ25" s="279">
        <f t="shared" si="26"/>
        <v>0</v>
      </c>
      <c r="AR25" s="279">
        <f t="shared" si="27"/>
        <v>0</v>
      </c>
      <c r="AT25" s="279">
        <f t="shared" si="28"/>
        <v>49.306399999999996</v>
      </c>
      <c r="AU25" s="279">
        <f t="shared" si="29"/>
        <v>7.2411999999999992</v>
      </c>
      <c r="AV25" s="279">
        <f t="shared" si="30"/>
        <v>78.441999999999993</v>
      </c>
      <c r="AX25" s="329">
        <f t="shared" si="31"/>
        <v>12.451111111111109</v>
      </c>
      <c r="AY25" s="329">
        <f t="shared" si="31"/>
        <v>12.451111111111109</v>
      </c>
      <c r="AZ25" s="332">
        <f t="shared" si="32"/>
        <v>23084.359999999997</v>
      </c>
      <c r="BA25" s="331">
        <f t="shared" si="33"/>
        <v>189.25688888888885</v>
      </c>
      <c r="BC25" s="344">
        <f t="shared" si="34"/>
        <v>22412</v>
      </c>
      <c r="BD25" s="344">
        <f t="shared" si="35"/>
        <v>3735.3333333333335</v>
      </c>
    </row>
    <row r="26" spans="1:56" x14ac:dyDescent="0.25">
      <c r="A26" s="247">
        <v>183024</v>
      </c>
      <c r="B26" s="247" t="s">
        <v>140</v>
      </c>
      <c r="C26" s="247" t="s">
        <v>131</v>
      </c>
      <c r="D26" s="247" t="s">
        <v>150</v>
      </c>
      <c r="E26" s="248" t="s">
        <v>185</v>
      </c>
      <c r="F26" s="250">
        <v>959.8</v>
      </c>
      <c r="G26" s="247" t="s">
        <v>152</v>
      </c>
      <c r="H26" s="247">
        <v>12</v>
      </c>
      <c r="J26" s="250">
        <f t="shared" si="10"/>
        <v>11517.599999999999</v>
      </c>
      <c r="K26" s="250">
        <f t="shared" si="11"/>
        <v>0</v>
      </c>
      <c r="L26" s="250">
        <f t="shared" si="12"/>
        <v>11517.599999999999</v>
      </c>
      <c r="M26" s="250">
        <f t="shared" si="13"/>
        <v>0</v>
      </c>
      <c r="N26" s="250">
        <f t="shared" si="14"/>
        <v>0</v>
      </c>
      <c r="O26" s="263" t="str">
        <f t="shared" si="15"/>
        <v>Ok</v>
      </c>
      <c r="Q26" s="265">
        <f>K26*'Bedarfsanalyse (Rahmenplan)'!$Q$6</f>
        <v>0</v>
      </c>
      <c r="R26" s="265">
        <f>K26*'Bedarfsanalyse (Rahmenplan)'!$R$6</f>
        <v>0</v>
      </c>
      <c r="S26" s="265">
        <f>(L26+M26)*'Bedarfsanalyse (Rahmenplan)'!$S$6</f>
        <v>221.61738829496139</v>
      </c>
      <c r="U26" s="274">
        <f t="shared" si="16"/>
        <v>22</v>
      </c>
      <c r="V26" s="274">
        <f t="shared" si="7"/>
        <v>10</v>
      </c>
      <c r="W26" s="274">
        <f t="shared" si="7"/>
        <v>30</v>
      </c>
      <c r="Y26" s="274">
        <f t="shared" si="8"/>
        <v>22</v>
      </c>
      <c r="Z26" s="274">
        <f t="shared" si="8"/>
        <v>5</v>
      </c>
      <c r="AA26" s="274">
        <f t="shared" si="8"/>
        <v>35</v>
      </c>
      <c r="AC26" s="274">
        <f t="shared" si="9"/>
        <v>22</v>
      </c>
      <c r="AD26" s="274">
        <f t="shared" si="9"/>
        <v>7.5</v>
      </c>
      <c r="AE26" s="274">
        <f t="shared" si="9"/>
        <v>50</v>
      </c>
      <c r="AG26" s="274">
        <f t="shared" si="17"/>
        <v>4</v>
      </c>
      <c r="AI26" s="279">
        <f t="shared" si="18"/>
        <v>0</v>
      </c>
      <c r="AJ26" s="279">
        <f t="shared" si="19"/>
        <v>253.38719999999995</v>
      </c>
      <c r="AK26" s="279">
        <f t="shared" si="20"/>
        <v>0</v>
      </c>
      <c r="AL26" s="279">
        <f t="shared" si="21"/>
        <v>0</v>
      </c>
      <c r="AM26" s="279">
        <f t="shared" si="22"/>
        <v>16.517599999999998</v>
      </c>
      <c r="AN26" s="279">
        <f t="shared" si="23"/>
        <v>0</v>
      </c>
      <c r="AO26" s="279">
        <f t="shared" si="24"/>
        <v>0</v>
      </c>
      <c r="AP26" s="279">
        <f t="shared" si="25"/>
        <v>403.11599999999993</v>
      </c>
      <c r="AQ26" s="279">
        <f t="shared" si="26"/>
        <v>0</v>
      </c>
      <c r="AR26" s="279">
        <f t="shared" si="27"/>
        <v>0</v>
      </c>
      <c r="AT26" s="279">
        <f t="shared" si="28"/>
        <v>253.38719999999995</v>
      </c>
      <c r="AU26" s="279">
        <f t="shared" si="29"/>
        <v>16.517599999999998</v>
      </c>
      <c r="AV26" s="279">
        <f t="shared" si="30"/>
        <v>403.11599999999993</v>
      </c>
      <c r="AX26" s="329">
        <f t="shared" si="31"/>
        <v>63.986666666666657</v>
      </c>
      <c r="AY26" s="329">
        <f t="shared" si="31"/>
        <v>63.986666666666657</v>
      </c>
      <c r="AZ26" s="332">
        <f t="shared" si="32"/>
        <v>118631.27999999998</v>
      </c>
      <c r="BA26" s="331">
        <f t="shared" si="33"/>
        <v>972.59733333333315</v>
      </c>
      <c r="BC26" s="344">
        <f t="shared" si="34"/>
        <v>115175.99999999999</v>
      </c>
      <c r="BD26" s="344">
        <f t="shared" si="35"/>
        <v>19195.999999999996</v>
      </c>
    </row>
    <row r="27" spans="1:56" x14ac:dyDescent="0.25">
      <c r="A27" s="247">
        <v>185023</v>
      </c>
      <c r="B27" s="247" t="s">
        <v>140</v>
      </c>
      <c r="C27" s="247" t="s">
        <v>28</v>
      </c>
      <c r="D27" s="247" t="s">
        <v>150</v>
      </c>
      <c r="E27" s="248" t="s">
        <v>186</v>
      </c>
      <c r="F27" s="250">
        <v>736.2</v>
      </c>
      <c r="G27" s="247" t="s">
        <v>153</v>
      </c>
      <c r="H27" s="247">
        <v>4</v>
      </c>
      <c r="J27" s="250">
        <f t="shared" si="10"/>
        <v>2944.8</v>
      </c>
      <c r="K27" s="250">
        <f t="shared" si="11"/>
        <v>2944.8</v>
      </c>
      <c r="L27" s="250">
        <f t="shared" si="12"/>
        <v>0</v>
      </c>
      <c r="M27" s="250">
        <f t="shared" si="13"/>
        <v>0</v>
      </c>
      <c r="N27" s="250">
        <f t="shared" si="14"/>
        <v>0</v>
      </c>
      <c r="O27" s="263" t="str">
        <f t="shared" si="15"/>
        <v>Ok</v>
      </c>
      <c r="Q27" s="265">
        <f>K27*'Bedarfsanalyse (Rahmenplan)'!$Q$6</f>
        <v>55.141199108442954</v>
      </c>
      <c r="R27" s="265">
        <f>K27*'Bedarfsanalyse (Rahmenplan)'!$R$6</f>
        <v>25.064181412928615</v>
      </c>
      <c r="S27" s="265">
        <f>(L27+M27)*'Bedarfsanalyse (Rahmenplan)'!$S$6</f>
        <v>0</v>
      </c>
      <c r="U27" s="274">
        <f t="shared" si="16"/>
        <v>22</v>
      </c>
      <c r="V27" s="274">
        <f t="shared" si="7"/>
        <v>10</v>
      </c>
      <c r="W27" s="274">
        <f t="shared" si="7"/>
        <v>30</v>
      </c>
      <c r="Y27" s="274">
        <f t="shared" si="8"/>
        <v>22</v>
      </c>
      <c r="Z27" s="274">
        <f t="shared" si="8"/>
        <v>5</v>
      </c>
      <c r="AA27" s="274">
        <f t="shared" si="8"/>
        <v>35</v>
      </c>
      <c r="AC27" s="274">
        <f t="shared" si="9"/>
        <v>22</v>
      </c>
      <c r="AD27" s="274">
        <f t="shared" si="9"/>
        <v>7.5</v>
      </c>
      <c r="AE27" s="274">
        <f t="shared" si="9"/>
        <v>50</v>
      </c>
      <c r="AG27" s="274">
        <f t="shared" si="17"/>
        <v>4</v>
      </c>
      <c r="AI27" s="279">
        <f t="shared" si="18"/>
        <v>64.785600000000002</v>
      </c>
      <c r="AJ27" s="279">
        <f t="shared" si="19"/>
        <v>0</v>
      </c>
      <c r="AK27" s="279">
        <f t="shared" si="20"/>
        <v>0</v>
      </c>
      <c r="AL27" s="279">
        <f t="shared" si="21"/>
        <v>29.448</v>
      </c>
      <c r="AM27" s="279">
        <f t="shared" si="22"/>
        <v>5</v>
      </c>
      <c r="AN27" s="279">
        <f t="shared" si="23"/>
        <v>0</v>
      </c>
      <c r="AO27" s="279">
        <f t="shared" si="24"/>
        <v>88.343999999999994</v>
      </c>
      <c r="AP27" s="279">
        <f t="shared" si="25"/>
        <v>0</v>
      </c>
      <c r="AQ27" s="279">
        <f t="shared" si="26"/>
        <v>0</v>
      </c>
      <c r="AR27" s="279">
        <f t="shared" si="27"/>
        <v>0</v>
      </c>
      <c r="AT27" s="279">
        <f t="shared" si="28"/>
        <v>64.785600000000002</v>
      </c>
      <c r="AU27" s="279">
        <f t="shared" si="29"/>
        <v>34.448</v>
      </c>
      <c r="AV27" s="279">
        <f t="shared" si="30"/>
        <v>88.343999999999994</v>
      </c>
      <c r="AX27" s="329">
        <f t="shared" si="31"/>
        <v>5.2634780967150094</v>
      </c>
      <c r="AY27" s="329">
        <f t="shared" si="31"/>
        <v>5.2634780967150094</v>
      </c>
      <c r="AZ27" s="332">
        <f t="shared" si="32"/>
        <v>9758.4883913096273</v>
      </c>
      <c r="BA27" s="331">
        <f t="shared" si="33"/>
        <v>80.004867070068144</v>
      </c>
      <c r="BC27" s="344">
        <f t="shared" si="34"/>
        <v>29448</v>
      </c>
      <c r="BD27" s="344">
        <f t="shared" si="35"/>
        <v>4908</v>
      </c>
    </row>
    <row r="28" spans="1:56" x14ac:dyDescent="0.25">
      <c r="A28" s="247">
        <v>184023</v>
      </c>
      <c r="B28" s="247" t="s">
        <v>140</v>
      </c>
      <c r="C28" s="247" t="s">
        <v>28</v>
      </c>
      <c r="D28" s="247" t="s">
        <v>150</v>
      </c>
      <c r="E28" s="248" t="s">
        <v>187</v>
      </c>
      <c r="F28" s="250">
        <v>856.2</v>
      </c>
      <c r="G28" s="247" t="s">
        <v>153</v>
      </c>
      <c r="H28" s="247">
        <v>4</v>
      </c>
      <c r="J28" s="250">
        <f t="shared" si="10"/>
        <v>3424.8</v>
      </c>
      <c r="K28" s="250">
        <f t="shared" si="11"/>
        <v>3424.8</v>
      </c>
      <c r="L28" s="250">
        <f t="shared" si="12"/>
        <v>0</v>
      </c>
      <c r="M28" s="250">
        <f t="shared" si="13"/>
        <v>0</v>
      </c>
      <c r="N28" s="250">
        <f t="shared" si="14"/>
        <v>0</v>
      </c>
      <c r="O28" s="263" t="str">
        <f t="shared" si="15"/>
        <v>Ok</v>
      </c>
      <c r="Q28" s="265">
        <f>K28*'Bedarfsanalyse (Rahmenplan)'!$Q$6</f>
        <v>64.129169623266577</v>
      </c>
      <c r="R28" s="265">
        <f>K28*'Bedarfsanalyse (Rahmenplan)'!$R$6</f>
        <v>29.149622556030266</v>
      </c>
      <c r="S28" s="265">
        <f>(L28+M28)*'Bedarfsanalyse (Rahmenplan)'!$S$6</f>
        <v>0</v>
      </c>
      <c r="U28" s="274">
        <f t="shared" si="16"/>
        <v>22</v>
      </c>
      <c r="V28" s="274">
        <f t="shared" si="7"/>
        <v>10</v>
      </c>
      <c r="W28" s="274">
        <f t="shared" si="7"/>
        <v>30</v>
      </c>
      <c r="Y28" s="274">
        <f t="shared" si="8"/>
        <v>22</v>
      </c>
      <c r="Z28" s="274">
        <f t="shared" si="8"/>
        <v>5</v>
      </c>
      <c r="AA28" s="274">
        <f t="shared" si="8"/>
        <v>35</v>
      </c>
      <c r="AC28" s="274">
        <f t="shared" si="9"/>
        <v>22</v>
      </c>
      <c r="AD28" s="274">
        <f t="shared" si="9"/>
        <v>7.5</v>
      </c>
      <c r="AE28" s="274">
        <f t="shared" si="9"/>
        <v>50</v>
      </c>
      <c r="AG28" s="274">
        <f t="shared" si="17"/>
        <v>4</v>
      </c>
      <c r="AI28" s="279">
        <f t="shared" si="18"/>
        <v>75.345600000000005</v>
      </c>
      <c r="AJ28" s="279">
        <f t="shared" si="19"/>
        <v>0</v>
      </c>
      <c r="AK28" s="279">
        <f t="shared" si="20"/>
        <v>0</v>
      </c>
      <c r="AL28" s="279">
        <f t="shared" si="21"/>
        <v>34.247999999999998</v>
      </c>
      <c r="AM28" s="279">
        <f t="shared" si="22"/>
        <v>5</v>
      </c>
      <c r="AN28" s="279">
        <f t="shared" si="23"/>
        <v>0</v>
      </c>
      <c r="AO28" s="279">
        <f t="shared" si="24"/>
        <v>102.744</v>
      </c>
      <c r="AP28" s="279">
        <f t="shared" si="25"/>
        <v>0</v>
      </c>
      <c r="AQ28" s="279">
        <f t="shared" si="26"/>
        <v>0</v>
      </c>
      <c r="AR28" s="279">
        <f t="shared" si="27"/>
        <v>0</v>
      </c>
      <c r="AT28" s="279">
        <f t="shared" si="28"/>
        <v>75.345600000000005</v>
      </c>
      <c r="AU28" s="279">
        <f t="shared" si="29"/>
        <v>39.247999999999998</v>
      </c>
      <c r="AV28" s="279">
        <f t="shared" si="30"/>
        <v>102.744</v>
      </c>
      <c r="AX28" s="329">
        <f t="shared" si="31"/>
        <v>6.121420736766356</v>
      </c>
      <c r="AY28" s="329">
        <f t="shared" si="31"/>
        <v>6.121420736766356</v>
      </c>
      <c r="AZ28" s="332">
        <f t="shared" si="32"/>
        <v>11349.114045964823</v>
      </c>
      <c r="BA28" s="331">
        <f t="shared" si="33"/>
        <v>93.045595198848616</v>
      </c>
      <c r="BC28" s="344">
        <f t="shared" si="34"/>
        <v>34248</v>
      </c>
      <c r="BD28" s="344">
        <f t="shared" si="35"/>
        <v>5708</v>
      </c>
    </row>
    <row r="29" spans="1:56" x14ac:dyDescent="0.25">
      <c r="A29" s="247">
        <v>186024</v>
      </c>
      <c r="B29" s="247" t="s">
        <v>140</v>
      </c>
      <c r="C29" s="247" t="s">
        <v>131</v>
      </c>
      <c r="D29" s="247" t="s">
        <v>150</v>
      </c>
      <c r="E29" s="248" t="s">
        <v>188</v>
      </c>
      <c r="F29" s="250">
        <v>977.1</v>
      </c>
      <c r="G29" s="247" t="s">
        <v>154</v>
      </c>
      <c r="H29" s="247">
        <v>5</v>
      </c>
      <c r="J29" s="250">
        <f t="shared" si="10"/>
        <v>4885.5</v>
      </c>
      <c r="K29" s="250">
        <f t="shared" si="11"/>
        <v>0</v>
      </c>
      <c r="L29" s="250">
        <f t="shared" si="12"/>
        <v>4885.5</v>
      </c>
      <c r="M29" s="250">
        <f t="shared" si="13"/>
        <v>0</v>
      </c>
      <c r="N29" s="250">
        <f t="shared" si="14"/>
        <v>0</v>
      </c>
      <c r="O29" s="263" t="str">
        <f t="shared" si="15"/>
        <v>Ok</v>
      </c>
      <c r="Q29" s="265">
        <f>K29*'Bedarfsanalyse (Rahmenplan)'!$Q$6</f>
        <v>0</v>
      </c>
      <c r="R29" s="265">
        <f>K29*'Bedarfsanalyse (Rahmenplan)'!$R$6</f>
        <v>0</v>
      </c>
      <c r="S29" s="265">
        <f>(L29+M29)*'Bedarfsanalyse (Rahmenplan)'!$S$6</f>
        <v>94.004979380689903</v>
      </c>
      <c r="U29" s="274">
        <f t="shared" si="16"/>
        <v>22</v>
      </c>
      <c r="V29" s="274">
        <f t="shared" si="16"/>
        <v>10</v>
      </c>
      <c r="W29" s="274">
        <f t="shared" si="16"/>
        <v>30</v>
      </c>
      <c r="Y29" s="274">
        <f t="shared" ref="Y29:AA71" si="36">Y$12</f>
        <v>22</v>
      </c>
      <c r="Z29" s="274">
        <f t="shared" si="36"/>
        <v>5</v>
      </c>
      <c r="AA29" s="274">
        <f t="shared" si="36"/>
        <v>35</v>
      </c>
      <c r="AC29" s="274">
        <f t="shared" ref="AC29:AE71" si="37">AC$12</f>
        <v>22</v>
      </c>
      <c r="AD29" s="274">
        <f t="shared" si="37"/>
        <v>7.5</v>
      </c>
      <c r="AE29" s="274">
        <f t="shared" si="37"/>
        <v>50</v>
      </c>
      <c r="AG29" s="274">
        <f t="shared" si="17"/>
        <v>4</v>
      </c>
      <c r="AI29" s="279">
        <f t="shared" si="18"/>
        <v>0</v>
      </c>
      <c r="AJ29" s="279">
        <f t="shared" si="19"/>
        <v>107.48099999999999</v>
      </c>
      <c r="AK29" s="279">
        <f t="shared" si="20"/>
        <v>0</v>
      </c>
      <c r="AL29" s="279">
        <f t="shared" si="21"/>
        <v>0</v>
      </c>
      <c r="AM29" s="279">
        <f t="shared" si="22"/>
        <v>9.8855000000000004</v>
      </c>
      <c r="AN29" s="279">
        <f t="shared" si="23"/>
        <v>0</v>
      </c>
      <c r="AO29" s="279">
        <f t="shared" si="24"/>
        <v>0</v>
      </c>
      <c r="AP29" s="279">
        <f t="shared" si="25"/>
        <v>170.99250000000001</v>
      </c>
      <c r="AQ29" s="279">
        <f t="shared" si="26"/>
        <v>0</v>
      </c>
      <c r="AR29" s="279">
        <f t="shared" si="27"/>
        <v>0</v>
      </c>
      <c r="AT29" s="279">
        <f t="shared" si="28"/>
        <v>107.48099999999999</v>
      </c>
      <c r="AU29" s="279">
        <f t="shared" si="29"/>
        <v>9.8855000000000004</v>
      </c>
      <c r="AV29" s="279">
        <f t="shared" si="30"/>
        <v>170.99250000000001</v>
      </c>
      <c r="AX29" s="329">
        <f t="shared" si="31"/>
        <v>27.141666666666669</v>
      </c>
      <c r="AY29" s="329">
        <f t="shared" si="31"/>
        <v>27.141666666666669</v>
      </c>
      <c r="AZ29" s="332">
        <f t="shared" si="32"/>
        <v>50320.65</v>
      </c>
      <c r="BA29" s="331">
        <f t="shared" si="33"/>
        <v>412.55333333333334</v>
      </c>
      <c r="BC29" s="344">
        <f t="shared" si="34"/>
        <v>48855</v>
      </c>
      <c r="BD29" s="344">
        <f t="shared" si="35"/>
        <v>8142.5</v>
      </c>
    </row>
    <row r="30" spans="1:56" x14ac:dyDescent="0.25">
      <c r="A30" s="280">
        <v>162022</v>
      </c>
      <c r="B30" s="280" t="s">
        <v>140</v>
      </c>
      <c r="C30" s="280" t="s">
        <v>31</v>
      </c>
      <c r="D30" s="280">
        <v>5</v>
      </c>
      <c r="E30" s="281" t="s">
        <v>189</v>
      </c>
      <c r="F30" s="282">
        <v>2942.8</v>
      </c>
      <c r="G30" s="280" t="s">
        <v>155</v>
      </c>
      <c r="H30" s="280">
        <v>5</v>
      </c>
      <c r="I30" s="280"/>
      <c r="J30" s="282">
        <f t="shared" si="10"/>
        <v>14714</v>
      </c>
      <c r="K30" s="282">
        <f t="shared" si="11"/>
        <v>0</v>
      </c>
      <c r="L30" s="282">
        <f t="shared" si="12"/>
        <v>0</v>
      </c>
      <c r="M30" s="282">
        <f t="shared" si="13"/>
        <v>0</v>
      </c>
      <c r="N30" s="282">
        <f t="shared" si="14"/>
        <v>14714</v>
      </c>
      <c r="O30" s="283" t="str">
        <f t="shared" si="15"/>
        <v>Ok</v>
      </c>
      <c r="P30" s="280"/>
      <c r="Q30" s="284">
        <f>K30*'Bedarfsanalyse (Rahmenplan)'!$Q$6</f>
        <v>0</v>
      </c>
      <c r="R30" s="284">
        <f>K30*'Bedarfsanalyse (Rahmenplan)'!$R$6</f>
        <v>0</v>
      </c>
      <c r="S30" s="284">
        <f>(L30+M30)*'Bedarfsanalyse (Rahmenplan)'!$S$6</f>
        <v>0</v>
      </c>
      <c r="T30" s="280"/>
      <c r="U30" s="285">
        <f t="shared" si="16"/>
        <v>22</v>
      </c>
      <c r="V30" s="285">
        <f t="shared" si="16"/>
        <v>10</v>
      </c>
      <c r="W30" s="285">
        <f t="shared" si="16"/>
        <v>30</v>
      </c>
      <c r="X30" s="280"/>
      <c r="Y30" s="285">
        <f t="shared" si="36"/>
        <v>22</v>
      </c>
      <c r="Z30" s="285">
        <f t="shared" si="36"/>
        <v>5</v>
      </c>
      <c r="AA30" s="285">
        <f t="shared" si="36"/>
        <v>35</v>
      </c>
      <c r="AB30" s="280"/>
      <c r="AC30" s="285">
        <f t="shared" si="37"/>
        <v>22</v>
      </c>
      <c r="AD30" s="285">
        <f t="shared" si="37"/>
        <v>7.5</v>
      </c>
      <c r="AE30" s="285">
        <f t="shared" si="37"/>
        <v>50</v>
      </c>
      <c r="AF30" s="280"/>
      <c r="AG30" s="285">
        <f t="shared" si="17"/>
        <v>4</v>
      </c>
      <c r="AH30" s="286"/>
      <c r="AI30" s="287">
        <f t="shared" si="18"/>
        <v>0</v>
      </c>
      <c r="AJ30" s="287">
        <f t="shared" si="19"/>
        <v>0</v>
      </c>
      <c r="AK30" s="287">
        <f t="shared" si="20"/>
        <v>0</v>
      </c>
      <c r="AL30" s="287">
        <f t="shared" si="21"/>
        <v>0</v>
      </c>
      <c r="AM30" s="287">
        <f t="shared" si="22"/>
        <v>5</v>
      </c>
      <c r="AN30" s="287">
        <f t="shared" si="23"/>
        <v>0</v>
      </c>
      <c r="AO30" s="287">
        <f t="shared" si="24"/>
        <v>0</v>
      </c>
      <c r="AP30" s="287">
        <f t="shared" si="25"/>
        <v>0</v>
      </c>
      <c r="AQ30" s="287">
        <f t="shared" si="26"/>
        <v>0</v>
      </c>
      <c r="AR30" s="287">
        <f t="shared" si="27"/>
        <v>58.856000000000002</v>
      </c>
      <c r="AS30" s="286"/>
      <c r="AT30" s="287">
        <f t="shared" si="28"/>
        <v>0</v>
      </c>
      <c r="AU30" s="287">
        <f t="shared" si="29"/>
        <v>5</v>
      </c>
      <c r="AV30" s="287">
        <f t="shared" si="30"/>
        <v>58.856000000000002</v>
      </c>
      <c r="AW30" s="334"/>
      <c r="AX30" s="335">
        <f t="shared" si="31"/>
        <v>0</v>
      </c>
      <c r="AY30" s="335">
        <f t="shared" si="31"/>
        <v>0</v>
      </c>
      <c r="AZ30" s="336">
        <f t="shared" si="32"/>
        <v>0</v>
      </c>
      <c r="BA30" s="337">
        <f t="shared" si="33"/>
        <v>0</v>
      </c>
      <c r="BB30" s="334"/>
      <c r="BC30" s="345">
        <f t="shared" si="34"/>
        <v>147140</v>
      </c>
      <c r="BD30" s="345">
        <f t="shared" si="35"/>
        <v>24523.333333333332</v>
      </c>
    </row>
    <row r="31" spans="1:56" x14ac:dyDescent="0.25">
      <c r="A31" s="247">
        <v>161024</v>
      </c>
      <c r="B31" s="247" t="s">
        <v>140</v>
      </c>
      <c r="C31" s="247" t="s">
        <v>131</v>
      </c>
      <c r="D31" s="247">
        <v>5</v>
      </c>
      <c r="E31" s="248" t="s">
        <v>190</v>
      </c>
      <c r="F31" s="250">
        <v>584.5</v>
      </c>
      <c r="G31" s="247" t="s">
        <v>155</v>
      </c>
      <c r="H31" s="247">
        <v>5</v>
      </c>
      <c r="J31" s="250">
        <f t="shared" si="10"/>
        <v>2922.5</v>
      </c>
      <c r="K31" s="250">
        <f t="shared" si="11"/>
        <v>0</v>
      </c>
      <c r="L31" s="250">
        <f t="shared" si="12"/>
        <v>2922.5</v>
      </c>
      <c r="M31" s="250">
        <f t="shared" si="13"/>
        <v>0</v>
      </c>
      <c r="N31" s="250">
        <f t="shared" si="14"/>
        <v>0</v>
      </c>
      <c r="O31" s="263" t="str">
        <f t="shared" si="15"/>
        <v>Ok</v>
      </c>
      <c r="Q31" s="265">
        <f>K31*'Bedarfsanalyse (Rahmenplan)'!$Q$6</f>
        <v>0</v>
      </c>
      <c r="R31" s="265">
        <f>K31*'Bedarfsanalyse (Rahmenplan)'!$R$6</f>
        <v>0</v>
      </c>
      <c r="S31" s="265">
        <f>(L31+M31)*'Bedarfsanalyse (Rahmenplan)'!$S$6</f>
        <v>56.233661291590671</v>
      </c>
      <c r="U31" s="274">
        <f t="shared" si="16"/>
        <v>22</v>
      </c>
      <c r="V31" s="274">
        <f t="shared" si="16"/>
        <v>10</v>
      </c>
      <c r="W31" s="274">
        <f t="shared" si="16"/>
        <v>30</v>
      </c>
      <c r="Y31" s="274">
        <f t="shared" si="36"/>
        <v>22</v>
      </c>
      <c r="Z31" s="274">
        <f t="shared" si="36"/>
        <v>5</v>
      </c>
      <c r="AA31" s="274">
        <f t="shared" si="36"/>
        <v>35</v>
      </c>
      <c r="AC31" s="274">
        <f t="shared" si="37"/>
        <v>22</v>
      </c>
      <c r="AD31" s="274">
        <f t="shared" si="37"/>
        <v>7.5</v>
      </c>
      <c r="AE31" s="274">
        <f t="shared" si="37"/>
        <v>50</v>
      </c>
      <c r="AG31" s="274">
        <f t="shared" si="17"/>
        <v>4</v>
      </c>
      <c r="AI31" s="279">
        <f t="shared" si="18"/>
        <v>0</v>
      </c>
      <c r="AJ31" s="279">
        <f t="shared" si="19"/>
        <v>64.295000000000002</v>
      </c>
      <c r="AK31" s="279">
        <f t="shared" si="20"/>
        <v>0</v>
      </c>
      <c r="AL31" s="279">
        <f t="shared" si="21"/>
        <v>0</v>
      </c>
      <c r="AM31" s="279">
        <f t="shared" si="22"/>
        <v>7.9224999999999994</v>
      </c>
      <c r="AN31" s="279">
        <f t="shared" si="23"/>
        <v>0</v>
      </c>
      <c r="AO31" s="279">
        <f t="shared" si="24"/>
        <v>0</v>
      </c>
      <c r="AP31" s="279">
        <f t="shared" si="25"/>
        <v>102.28749999999999</v>
      </c>
      <c r="AQ31" s="279">
        <f t="shared" si="26"/>
        <v>0</v>
      </c>
      <c r="AR31" s="279">
        <f t="shared" si="27"/>
        <v>0</v>
      </c>
      <c r="AT31" s="279">
        <f t="shared" si="28"/>
        <v>64.295000000000002</v>
      </c>
      <c r="AU31" s="279">
        <f t="shared" si="29"/>
        <v>7.9224999999999994</v>
      </c>
      <c r="AV31" s="279">
        <f t="shared" si="30"/>
        <v>102.28749999999999</v>
      </c>
      <c r="AX31" s="329">
        <f t="shared" si="31"/>
        <v>16.236111111111111</v>
      </c>
      <c r="AY31" s="329">
        <f t="shared" si="31"/>
        <v>16.236111111111111</v>
      </c>
      <c r="AZ31" s="332">
        <f t="shared" si="32"/>
        <v>30101.749999999996</v>
      </c>
      <c r="BA31" s="331">
        <f t="shared" si="33"/>
        <v>246.78888888888886</v>
      </c>
      <c r="BC31" s="344">
        <f t="shared" si="34"/>
        <v>29225</v>
      </c>
      <c r="BD31" s="344">
        <f t="shared" si="35"/>
        <v>4870.833333333333</v>
      </c>
    </row>
    <row r="32" spans="1:56" x14ac:dyDescent="0.25">
      <c r="A32" s="288">
        <v>191111</v>
      </c>
      <c r="B32" s="288" t="s">
        <v>69</v>
      </c>
      <c r="C32" s="288" t="s">
        <v>30</v>
      </c>
      <c r="D32" s="288">
        <v>6</v>
      </c>
      <c r="E32" s="289" t="s">
        <v>191</v>
      </c>
      <c r="F32" s="290">
        <v>605.20000000000005</v>
      </c>
      <c r="G32" s="288" t="s">
        <v>156</v>
      </c>
      <c r="H32" s="288">
        <v>1</v>
      </c>
      <c r="I32" s="288"/>
      <c r="J32" s="290">
        <f t="shared" si="10"/>
        <v>605.20000000000005</v>
      </c>
      <c r="K32" s="290">
        <f t="shared" si="11"/>
        <v>0</v>
      </c>
      <c r="L32" s="290">
        <f t="shared" si="12"/>
        <v>0</v>
      </c>
      <c r="M32" s="290">
        <f t="shared" si="13"/>
        <v>605.20000000000005</v>
      </c>
      <c r="N32" s="290">
        <f t="shared" si="14"/>
        <v>0</v>
      </c>
      <c r="O32" s="291" t="str">
        <f t="shared" si="15"/>
        <v>Ok</v>
      </c>
      <c r="P32" s="288"/>
      <c r="Q32" s="292">
        <f>K32*'Bedarfsanalyse (Rahmenplan)'!$Q$6</f>
        <v>0</v>
      </c>
      <c r="R32" s="292">
        <f>K32*'Bedarfsanalyse (Rahmenplan)'!$R$6</f>
        <v>0</v>
      </c>
      <c r="S32" s="292">
        <f>(L32+M32)*'Bedarfsanalyse (Rahmenplan)'!$S$6</f>
        <v>11.645033982436502</v>
      </c>
      <c r="T32" s="288"/>
      <c r="U32" s="293">
        <f t="shared" si="16"/>
        <v>22</v>
      </c>
      <c r="V32" s="293">
        <f t="shared" si="16"/>
        <v>10</v>
      </c>
      <c r="W32" s="293">
        <f t="shared" si="16"/>
        <v>30</v>
      </c>
      <c r="X32" s="288"/>
      <c r="Y32" s="293">
        <f t="shared" si="36"/>
        <v>22</v>
      </c>
      <c r="Z32" s="293">
        <f t="shared" si="36"/>
        <v>5</v>
      </c>
      <c r="AA32" s="293">
        <f t="shared" si="36"/>
        <v>35</v>
      </c>
      <c r="AB32" s="288"/>
      <c r="AC32" s="293">
        <f t="shared" si="37"/>
        <v>22</v>
      </c>
      <c r="AD32" s="293">
        <f t="shared" si="37"/>
        <v>7.5</v>
      </c>
      <c r="AE32" s="293">
        <f t="shared" si="37"/>
        <v>50</v>
      </c>
      <c r="AF32" s="288"/>
      <c r="AG32" s="293">
        <f t="shared" si="17"/>
        <v>4</v>
      </c>
      <c r="AH32" s="294"/>
      <c r="AI32" s="295">
        <f t="shared" si="18"/>
        <v>0</v>
      </c>
      <c r="AJ32" s="295">
        <f t="shared" si="19"/>
        <v>0</v>
      </c>
      <c r="AK32" s="295">
        <f t="shared" si="20"/>
        <v>13.314400000000001</v>
      </c>
      <c r="AL32" s="295">
        <f t="shared" si="21"/>
        <v>0</v>
      </c>
      <c r="AM32" s="295">
        <f t="shared" si="22"/>
        <v>5</v>
      </c>
      <c r="AN32" s="295">
        <f t="shared" si="23"/>
        <v>4.5389999999999997</v>
      </c>
      <c r="AO32" s="295">
        <f t="shared" si="24"/>
        <v>0</v>
      </c>
      <c r="AP32" s="295">
        <f t="shared" si="25"/>
        <v>0</v>
      </c>
      <c r="AQ32" s="295">
        <f t="shared" si="26"/>
        <v>30.260000000000005</v>
      </c>
      <c r="AR32" s="295">
        <f t="shared" si="27"/>
        <v>0</v>
      </c>
      <c r="AS32" s="294"/>
      <c r="AT32" s="295">
        <f t="shared" si="28"/>
        <v>13.314400000000001</v>
      </c>
      <c r="AU32" s="295">
        <f t="shared" si="29"/>
        <v>9.5389999999999997</v>
      </c>
      <c r="AV32" s="295">
        <f t="shared" si="30"/>
        <v>30.260000000000005</v>
      </c>
      <c r="AW32" s="294"/>
      <c r="AX32" s="338">
        <f t="shared" si="31"/>
        <v>3.3622222222222224</v>
      </c>
      <c r="AY32" s="338">
        <f t="shared" si="31"/>
        <v>3.3622222222222224</v>
      </c>
      <c r="AZ32" s="339">
        <f t="shared" si="32"/>
        <v>6233.56</v>
      </c>
      <c r="BA32" s="340">
        <f t="shared" si="33"/>
        <v>51.105777777777774</v>
      </c>
      <c r="BB32" s="294"/>
      <c r="BC32" s="346">
        <f t="shared" si="34"/>
        <v>6052</v>
      </c>
      <c r="BD32" s="346">
        <f t="shared" si="35"/>
        <v>1008.6666666666666</v>
      </c>
    </row>
    <row r="33" spans="1:56" x14ac:dyDescent="0.25">
      <c r="A33" s="288">
        <v>191211</v>
      </c>
      <c r="B33" s="288" t="s">
        <v>69</v>
      </c>
      <c r="C33" s="288" t="s">
        <v>30</v>
      </c>
      <c r="D33" s="288">
        <v>6</v>
      </c>
      <c r="E33" s="289" t="s">
        <v>191</v>
      </c>
      <c r="F33" s="290">
        <v>44003</v>
      </c>
      <c r="G33" s="288" t="s">
        <v>156</v>
      </c>
      <c r="H33" s="288">
        <v>0</v>
      </c>
      <c r="I33" s="288"/>
      <c r="J33" s="290">
        <f t="shared" si="10"/>
        <v>0</v>
      </c>
      <c r="K33" s="290">
        <f t="shared" si="11"/>
        <v>0</v>
      </c>
      <c r="L33" s="290">
        <f t="shared" si="12"/>
        <v>0</v>
      </c>
      <c r="M33" s="290">
        <f t="shared" si="13"/>
        <v>0</v>
      </c>
      <c r="N33" s="290">
        <f t="shared" si="14"/>
        <v>0</v>
      </c>
      <c r="O33" s="291" t="str">
        <f t="shared" si="15"/>
        <v>Ok</v>
      </c>
      <c r="P33" s="288"/>
      <c r="Q33" s="292">
        <f>K33*'Bedarfsanalyse (Rahmenplan)'!$Q$6</f>
        <v>0</v>
      </c>
      <c r="R33" s="292">
        <f>K33*'Bedarfsanalyse (Rahmenplan)'!$R$6</f>
        <v>0</v>
      </c>
      <c r="S33" s="292">
        <f>(L33+M33)*'Bedarfsanalyse (Rahmenplan)'!$S$6</f>
        <v>0</v>
      </c>
      <c r="T33" s="288"/>
      <c r="U33" s="293">
        <f t="shared" si="16"/>
        <v>22</v>
      </c>
      <c r="V33" s="293">
        <f t="shared" si="16"/>
        <v>10</v>
      </c>
      <c r="W33" s="293">
        <f t="shared" si="16"/>
        <v>30</v>
      </c>
      <c r="X33" s="288"/>
      <c r="Y33" s="293">
        <f t="shared" si="36"/>
        <v>22</v>
      </c>
      <c r="Z33" s="293">
        <f t="shared" si="36"/>
        <v>5</v>
      </c>
      <c r="AA33" s="293">
        <f t="shared" si="36"/>
        <v>35</v>
      </c>
      <c r="AB33" s="288"/>
      <c r="AC33" s="293">
        <f t="shared" si="37"/>
        <v>22</v>
      </c>
      <c r="AD33" s="293">
        <f t="shared" si="37"/>
        <v>7.5</v>
      </c>
      <c r="AE33" s="293">
        <f t="shared" si="37"/>
        <v>50</v>
      </c>
      <c r="AF33" s="288"/>
      <c r="AG33" s="293">
        <f t="shared" si="17"/>
        <v>4</v>
      </c>
      <c r="AH33" s="294"/>
      <c r="AI33" s="295">
        <f t="shared" si="18"/>
        <v>0</v>
      </c>
      <c r="AJ33" s="295">
        <f t="shared" si="19"/>
        <v>0</v>
      </c>
      <c r="AK33" s="295">
        <f t="shared" si="20"/>
        <v>0</v>
      </c>
      <c r="AL33" s="295">
        <f t="shared" si="21"/>
        <v>0</v>
      </c>
      <c r="AM33" s="295">
        <f t="shared" si="22"/>
        <v>5</v>
      </c>
      <c r="AN33" s="295">
        <f t="shared" si="23"/>
        <v>0</v>
      </c>
      <c r="AO33" s="295">
        <f t="shared" si="24"/>
        <v>0</v>
      </c>
      <c r="AP33" s="295">
        <f t="shared" si="25"/>
        <v>0</v>
      </c>
      <c r="AQ33" s="295">
        <f t="shared" si="26"/>
        <v>0</v>
      </c>
      <c r="AR33" s="295">
        <f t="shared" si="27"/>
        <v>0</v>
      </c>
      <c r="AS33" s="294"/>
      <c r="AT33" s="295">
        <f t="shared" si="28"/>
        <v>0</v>
      </c>
      <c r="AU33" s="295">
        <f t="shared" si="29"/>
        <v>5</v>
      </c>
      <c r="AV33" s="295">
        <f t="shared" si="30"/>
        <v>0</v>
      </c>
      <c r="AW33" s="294"/>
      <c r="AX33" s="338">
        <f t="shared" si="31"/>
        <v>0</v>
      </c>
      <c r="AY33" s="338">
        <f t="shared" si="31"/>
        <v>0</v>
      </c>
      <c r="AZ33" s="339">
        <f t="shared" si="32"/>
        <v>0</v>
      </c>
      <c r="BA33" s="340">
        <f t="shared" si="33"/>
        <v>0</v>
      </c>
      <c r="BB33" s="294"/>
      <c r="BC33" s="346">
        <f t="shared" si="34"/>
        <v>0</v>
      </c>
      <c r="BD33" s="346">
        <f t="shared" si="35"/>
        <v>0</v>
      </c>
    </row>
    <row r="34" spans="1:56" x14ac:dyDescent="0.25">
      <c r="A34" s="247">
        <v>1110023</v>
      </c>
      <c r="B34" s="247" t="s">
        <v>140</v>
      </c>
      <c r="C34" s="247" t="s">
        <v>28</v>
      </c>
      <c r="D34" s="247">
        <v>2</v>
      </c>
      <c r="E34" s="248" t="s">
        <v>192</v>
      </c>
      <c r="F34" s="250">
        <v>1388.9</v>
      </c>
      <c r="G34" s="247" t="s">
        <v>157</v>
      </c>
      <c r="H34" s="247">
        <v>6</v>
      </c>
      <c r="J34" s="250">
        <f t="shared" si="10"/>
        <v>8333.4000000000015</v>
      </c>
      <c r="K34" s="250">
        <f t="shared" si="11"/>
        <v>8333.4000000000015</v>
      </c>
      <c r="L34" s="250">
        <f t="shared" si="12"/>
        <v>0</v>
      </c>
      <c r="M34" s="250">
        <f t="shared" si="13"/>
        <v>0</v>
      </c>
      <c r="N34" s="250">
        <f t="shared" si="14"/>
        <v>0</v>
      </c>
      <c r="O34" s="263" t="str">
        <f t="shared" si="15"/>
        <v>Ok</v>
      </c>
      <c r="Q34" s="265">
        <f>K34*'Bedarfsanalyse (Rahmenplan)'!$Q$6</f>
        <v>156.04240310048172</v>
      </c>
      <c r="R34" s="265">
        <f>K34*'Bedarfsanalyse (Rahmenplan)'!$R$6</f>
        <v>70.928365045673516</v>
      </c>
      <c r="S34" s="265">
        <f>(L34+M34)*'Bedarfsanalyse (Rahmenplan)'!$S$6</f>
        <v>0</v>
      </c>
      <c r="U34" s="274">
        <f t="shared" si="16"/>
        <v>22</v>
      </c>
      <c r="V34" s="274">
        <f t="shared" si="16"/>
        <v>10</v>
      </c>
      <c r="W34" s="274">
        <f t="shared" si="16"/>
        <v>30</v>
      </c>
      <c r="Y34" s="274">
        <f t="shared" si="36"/>
        <v>22</v>
      </c>
      <c r="Z34" s="274">
        <f t="shared" si="36"/>
        <v>5</v>
      </c>
      <c r="AA34" s="274">
        <f t="shared" si="36"/>
        <v>35</v>
      </c>
      <c r="AC34" s="274">
        <f t="shared" si="37"/>
        <v>22</v>
      </c>
      <c r="AD34" s="274">
        <f t="shared" si="37"/>
        <v>7.5</v>
      </c>
      <c r="AE34" s="274">
        <f t="shared" si="37"/>
        <v>50</v>
      </c>
      <c r="AG34" s="274">
        <f t="shared" si="17"/>
        <v>4</v>
      </c>
      <c r="AI34" s="279">
        <f t="shared" si="18"/>
        <v>183.33480000000006</v>
      </c>
      <c r="AJ34" s="279">
        <f t="shared" si="19"/>
        <v>0</v>
      </c>
      <c r="AK34" s="279">
        <f t="shared" si="20"/>
        <v>0</v>
      </c>
      <c r="AL34" s="279">
        <f t="shared" si="21"/>
        <v>83.334000000000017</v>
      </c>
      <c r="AM34" s="279">
        <f t="shared" si="22"/>
        <v>5</v>
      </c>
      <c r="AN34" s="279">
        <f t="shared" si="23"/>
        <v>0</v>
      </c>
      <c r="AO34" s="279">
        <f t="shared" si="24"/>
        <v>250.00200000000007</v>
      </c>
      <c r="AP34" s="279">
        <f t="shared" si="25"/>
        <v>0</v>
      </c>
      <c r="AQ34" s="279">
        <f t="shared" si="26"/>
        <v>0</v>
      </c>
      <c r="AR34" s="279">
        <f t="shared" si="27"/>
        <v>0</v>
      </c>
      <c r="AT34" s="279">
        <f t="shared" si="28"/>
        <v>183.33480000000006</v>
      </c>
      <c r="AU34" s="279">
        <f t="shared" si="29"/>
        <v>88.334000000000017</v>
      </c>
      <c r="AV34" s="279">
        <f t="shared" si="30"/>
        <v>250.00200000000007</v>
      </c>
      <c r="AX34" s="329">
        <f t="shared" si="31"/>
        <v>14.894956659591438</v>
      </c>
      <c r="AY34" s="329">
        <f t="shared" si="31"/>
        <v>14.894956659591438</v>
      </c>
      <c r="AZ34" s="332">
        <f t="shared" si="32"/>
        <v>27615.249646882527</v>
      </c>
      <c r="BA34" s="331">
        <f t="shared" si="33"/>
        <v>226.40334122578983</v>
      </c>
      <c r="BC34" s="344">
        <f t="shared" si="34"/>
        <v>83334.000000000015</v>
      </c>
      <c r="BD34" s="344">
        <f t="shared" si="35"/>
        <v>13889.000000000002</v>
      </c>
    </row>
    <row r="35" spans="1:56" x14ac:dyDescent="0.25">
      <c r="A35" s="247">
        <v>171424</v>
      </c>
      <c r="B35" s="247" t="s">
        <v>140</v>
      </c>
      <c r="C35" s="247" t="s">
        <v>131</v>
      </c>
      <c r="D35" s="247">
        <v>5</v>
      </c>
      <c r="E35" s="248" t="s">
        <v>172</v>
      </c>
      <c r="F35" s="250">
        <v>166.2</v>
      </c>
      <c r="G35" s="247" t="s">
        <v>142</v>
      </c>
      <c r="H35" s="247">
        <v>1</v>
      </c>
      <c r="J35" s="250">
        <f t="shared" si="10"/>
        <v>166.2</v>
      </c>
      <c r="K35" s="250">
        <f t="shared" si="11"/>
        <v>0</v>
      </c>
      <c r="L35" s="250">
        <f t="shared" si="12"/>
        <v>166.2</v>
      </c>
      <c r="M35" s="250">
        <f t="shared" si="13"/>
        <v>0</v>
      </c>
      <c r="N35" s="250">
        <f t="shared" si="14"/>
        <v>0</v>
      </c>
      <c r="O35" s="263" t="str">
        <f t="shared" si="15"/>
        <v>Ok</v>
      </c>
      <c r="Q35" s="265">
        <f>K35*'Bedarfsanalyse (Rahmenplan)'!$Q$6</f>
        <v>0</v>
      </c>
      <c r="R35" s="265">
        <f>K35*'Bedarfsanalyse (Rahmenplan)'!$R$6</f>
        <v>0</v>
      </c>
      <c r="S35" s="265">
        <f>(L35+M35)*'Bedarfsanalyse (Rahmenplan)'!$S$6</f>
        <v>3.1979587704576113</v>
      </c>
      <c r="U35" s="274">
        <f t="shared" si="16"/>
        <v>22</v>
      </c>
      <c r="V35" s="274">
        <f t="shared" si="16"/>
        <v>10</v>
      </c>
      <c r="W35" s="274">
        <f t="shared" si="16"/>
        <v>30</v>
      </c>
      <c r="Y35" s="274">
        <f t="shared" si="36"/>
        <v>22</v>
      </c>
      <c r="Z35" s="274">
        <f t="shared" si="36"/>
        <v>5</v>
      </c>
      <c r="AA35" s="274">
        <f t="shared" si="36"/>
        <v>35</v>
      </c>
      <c r="AC35" s="274">
        <f t="shared" si="37"/>
        <v>22</v>
      </c>
      <c r="AD35" s="274">
        <f t="shared" si="37"/>
        <v>7.5</v>
      </c>
      <c r="AE35" s="274">
        <f t="shared" si="37"/>
        <v>50</v>
      </c>
      <c r="AG35" s="274">
        <f t="shared" si="17"/>
        <v>4</v>
      </c>
      <c r="AI35" s="279">
        <f t="shared" si="18"/>
        <v>0</v>
      </c>
      <c r="AJ35" s="279">
        <f t="shared" si="19"/>
        <v>3.6563999999999997</v>
      </c>
      <c r="AK35" s="279">
        <f t="shared" si="20"/>
        <v>0</v>
      </c>
      <c r="AL35" s="279">
        <f t="shared" si="21"/>
        <v>0</v>
      </c>
      <c r="AM35" s="279">
        <f t="shared" si="22"/>
        <v>5.1661999999999999</v>
      </c>
      <c r="AN35" s="279">
        <f t="shared" si="23"/>
        <v>0</v>
      </c>
      <c r="AO35" s="279">
        <f t="shared" si="24"/>
        <v>0</v>
      </c>
      <c r="AP35" s="279">
        <f t="shared" si="25"/>
        <v>5.8170000000000002</v>
      </c>
      <c r="AQ35" s="279">
        <f t="shared" si="26"/>
        <v>0</v>
      </c>
      <c r="AR35" s="279">
        <f t="shared" si="27"/>
        <v>0</v>
      </c>
      <c r="AT35" s="279">
        <f t="shared" si="28"/>
        <v>3.6563999999999997</v>
      </c>
      <c r="AU35" s="279">
        <f t="shared" si="29"/>
        <v>5.1661999999999999</v>
      </c>
      <c r="AV35" s="279">
        <f t="shared" si="30"/>
        <v>5.8170000000000002</v>
      </c>
      <c r="AX35" s="329">
        <f t="shared" si="31"/>
        <v>0.92333333333333323</v>
      </c>
      <c r="AY35" s="329">
        <f t="shared" si="31"/>
        <v>0.92333333333333323</v>
      </c>
      <c r="AZ35" s="332">
        <f t="shared" si="32"/>
        <v>1711.8599999999997</v>
      </c>
      <c r="BA35" s="331">
        <f t="shared" si="33"/>
        <v>14.034666666666665</v>
      </c>
      <c r="BC35" s="344">
        <f t="shared" si="34"/>
        <v>1662</v>
      </c>
      <c r="BD35" s="344">
        <f t="shared" si="35"/>
        <v>277</v>
      </c>
    </row>
    <row r="36" spans="1:56" x14ac:dyDescent="0.25">
      <c r="A36" s="247">
        <v>176224</v>
      </c>
      <c r="B36" s="247" t="s">
        <v>140</v>
      </c>
      <c r="C36" s="247" t="s">
        <v>131</v>
      </c>
      <c r="D36" s="247" t="s">
        <v>141</v>
      </c>
      <c r="E36" s="248" t="s">
        <v>193</v>
      </c>
      <c r="F36" s="250">
        <v>769.4</v>
      </c>
      <c r="G36" s="247" t="s">
        <v>158</v>
      </c>
      <c r="H36" s="247">
        <v>4</v>
      </c>
      <c r="J36" s="250">
        <f t="shared" si="10"/>
        <v>3077.6</v>
      </c>
      <c r="K36" s="250">
        <f t="shared" si="11"/>
        <v>0</v>
      </c>
      <c r="L36" s="250">
        <f t="shared" si="12"/>
        <v>3077.6</v>
      </c>
      <c r="M36" s="250">
        <f t="shared" si="13"/>
        <v>0</v>
      </c>
      <c r="N36" s="250">
        <f t="shared" si="14"/>
        <v>0</v>
      </c>
      <c r="O36" s="263" t="str">
        <f t="shared" si="15"/>
        <v>Ok</v>
      </c>
      <c r="Q36" s="265">
        <f>K36*'Bedarfsanalyse (Rahmenplan)'!$Q$6</f>
        <v>0</v>
      </c>
      <c r="R36" s="265">
        <f>K36*'Bedarfsanalyse (Rahmenplan)'!$R$6</f>
        <v>0</v>
      </c>
      <c r="S36" s="265">
        <f>(L36+M36)*'Bedarfsanalyse (Rahmenplan)'!$S$6</f>
        <v>59.218037978100753</v>
      </c>
      <c r="U36" s="274">
        <f t="shared" si="16"/>
        <v>22</v>
      </c>
      <c r="V36" s="274">
        <f t="shared" si="16"/>
        <v>10</v>
      </c>
      <c r="W36" s="274">
        <f t="shared" si="16"/>
        <v>30</v>
      </c>
      <c r="Y36" s="274">
        <f t="shared" si="36"/>
        <v>22</v>
      </c>
      <c r="Z36" s="274">
        <f t="shared" si="36"/>
        <v>5</v>
      </c>
      <c r="AA36" s="274">
        <f t="shared" si="36"/>
        <v>35</v>
      </c>
      <c r="AC36" s="274">
        <f t="shared" si="37"/>
        <v>22</v>
      </c>
      <c r="AD36" s="274">
        <f t="shared" si="37"/>
        <v>7.5</v>
      </c>
      <c r="AE36" s="274">
        <f t="shared" si="37"/>
        <v>50</v>
      </c>
      <c r="AG36" s="274">
        <f t="shared" si="17"/>
        <v>4</v>
      </c>
      <c r="AI36" s="279">
        <f t="shared" si="18"/>
        <v>0</v>
      </c>
      <c r="AJ36" s="279">
        <f t="shared" si="19"/>
        <v>67.7072</v>
      </c>
      <c r="AK36" s="279">
        <f t="shared" si="20"/>
        <v>0</v>
      </c>
      <c r="AL36" s="279">
        <f t="shared" si="21"/>
        <v>0</v>
      </c>
      <c r="AM36" s="279">
        <f t="shared" si="22"/>
        <v>8.0776000000000003</v>
      </c>
      <c r="AN36" s="279">
        <f t="shared" si="23"/>
        <v>0</v>
      </c>
      <c r="AO36" s="279">
        <f t="shared" si="24"/>
        <v>0</v>
      </c>
      <c r="AP36" s="279">
        <f t="shared" si="25"/>
        <v>107.71599999999999</v>
      </c>
      <c r="AQ36" s="279">
        <f t="shared" si="26"/>
        <v>0</v>
      </c>
      <c r="AR36" s="279">
        <f t="shared" si="27"/>
        <v>0</v>
      </c>
      <c r="AT36" s="279">
        <f t="shared" si="28"/>
        <v>67.7072</v>
      </c>
      <c r="AU36" s="279">
        <f t="shared" si="29"/>
        <v>8.0776000000000003</v>
      </c>
      <c r="AV36" s="279">
        <f t="shared" si="30"/>
        <v>107.71599999999999</v>
      </c>
      <c r="AX36" s="329">
        <f t="shared" si="31"/>
        <v>17.097777777777779</v>
      </c>
      <c r="AY36" s="329">
        <f t="shared" si="31"/>
        <v>17.097777777777779</v>
      </c>
      <c r="AZ36" s="332">
        <f t="shared" si="32"/>
        <v>31699.280000000002</v>
      </c>
      <c r="BA36" s="331">
        <f t="shared" si="33"/>
        <v>259.88622222222216</v>
      </c>
      <c r="BC36" s="344">
        <f t="shared" si="34"/>
        <v>30776</v>
      </c>
      <c r="BD36" s="344">
        <f t="shared" si="35"/>
        <v>5129.333333333333</v>
      </c>
    </row>
    <row r="37" spans="1:56" x14ac:dyDescent="0.25">
      <c r="A37" s="247">
        <v>176121</v>
      </c>
      <c r="B37" s="247" t="s">
        <v>140</v>
      </c>
      <c r="C37" s="247" t="s">
        <v>30</v>
      </c>
      <c r="D37" s="247" t="s">
        <v>141</v>
      </c>
      <c r="E37" s="248" t="s">
        <v>193</v>
      </c>
      <c r="F37" s="250">
        <v>495.3</v>
      </c>
      <c r="G37" s="247" t="s">
        <v>158</v>
      </c>
      <c r="H37" s="247">
        <v>3</v>
      </c>
      <c r="J37" s="250">
        <f t="shared" si="10"/>
        <v>1485.9</v>
      </c>
      <c r="K37" s="250">
        <f t="shared" si="11"/>
        <v>0</v>
      </c>
      <c r="L37" s="250">
        <f t="shared" si="12"/>
        <v>0</v>
      </c>
      <c r="M37" s="250">
        <f t="shared" si="13"/>
        <v>1485.9</v>
      </c>
      <c r="N37" s="250">
        <f t="shared" si="14"/>
        <v>0</v>
      </c>
      <c r="O37" s="263" t="str">
        <f t="shared" si="15"/>
        <v>Ok</v>
      </c>
      <c r="Q37" s="265">
        <f>K37*'Bedarfsanalyse (Rahmenplan)'!$Q$6</f>
        <v>0</v>
      </c>
      <c r="R37" s="265">
        <f>K37*'Bedarfsanalyse (Rahmenplan)'!$R$6</f>
        <v>0</v>
      </c>
      <c r="S37" s="265">
        <f>(L37+M37)*'Bedarfsanalyse (Rahmenplan)'!$S$6</f>
        <v>28.591136805192331</v>
      </c>
      <c r="U37" s="274">
        <f t="shared" si="16"/>
        <v>22</v>
      </c>
      <c r="V37" s="274">
        <f t="shared" si="16"/>
        <v>10</v>
      </c>
      <c r="W37" s="274">
        <f t="shared" si="16"/>
        <v>30</v>
      </c>
      <c r="Y37" s="274">
        <f t="shared" si="36"/>
        <v>22</v>
      </c>
      <c r="Z37" s="274">
        <f t="shared" si="36"/>
        <v>5</v>
      </c>
      <c r="AA37" s="274">
        <f t="shared" si="36"/>
        <v>35</v>
      </c>
      <c r="AC37" s="274">
        <f t="shared" si="37"/>
        <v>22</v>
      </c>
      <c r="AD37" s="274">
        <f t="shared" si="37"/>
        <v>7.5</v>
      </c>
      <c r="AE37" s="274">
        <f t="shared" si="37"/>
        <v>50</v>
      </c>
      <c r="AG37" s="274">
        <f t="shared" si="17"/>
        <v>4</v>
      </c>
      <c r="AI37" s="279">
        <f t="shared" si="18"/>
        <v>0</v>
      </c>
      <c r="AJ37" s="279">
        <f t="shared" si="19"/>
        <v>0</v>
      </c>
      <c r="AK37" s="279">
        <f t="shared" si="20"/>
        <v>32.689800000000005</v>
      </c>
      <c r="AL37" s="279">
        <f t="shared" si="21"/>
        <v>0</v>
      </c>
      <c r="AM37" s="279">
        <f t="shared" si="22"/>
        <v>5</v>
      </c>
      <c r="AN37" s="279">
        <f t="shared" si="23"/>
        <v>11.14425</v>
      </c>
      <c r="AO37" s="279">
        <f t="shared" si="24"/>
        <v>0</v>
      </c>
      <c r="AP37" s="279">
        <f t="shared" si="25"/>
        <v>0</v>
      </c>
      <c r="AQ37" s="279">
        <f t="shared" si="26"/>
        <v>74.295000000000002</v>
      </c>
      <c r="AR37" s="279">
        <f t="shared" si="27"/>
        <v>0</v>
      </c>
      <c r="AT37" s="279">
        <f t="shared" si="28"/>
        <v>32.689800000000005</v>
      </c>
      <c r="AU37" s="279">
        <f t="shared" si="29"/>
        <v>16.14425</v>
      </c>
      <c r="AV37" s="279">
        <f t="shared" si="30"/>
        <v>74.295000000000002</v>
      </c>
      <c r="AX37" s="329">
        <f t="shared" si="31"/>
        <v>8.2550000000000008</v>
      </c>
      <c r="AY37" s="329">
        <f t="shared" si="31"/>
        <v>8.2550000000000008</v>
      </c>
      <c r="AZ37" s="332">
        <f t="shared" si="32"/>
        <v>15304.770000000002</v>
      </c>
      <c r="BA37" s="331">
        <f t="shared" si="33"/>
        <v>125.476</v>
      </c>
      <c r="BC37" s="344">
        <f t="shared" si="34"/>
        <v>14859</v>
      </c>
      <c r="BD37" s="344">
        <f t="shared" si="35"/>
        <v>2476.5</v>
      </c>
    </row>
    <row r="38" spans="1:56" x14ac:dyDescent="0.25">
      <c r="A38" s="288">
        <v>174411</v>
      </c>
      <c r="B38" s="288" t="s">
        <v>69</v>
      </c>
      <c r="C38" s="288" t="s">
        <v>30</v>
      </c>
      <c r="D38" s="288" t="s">
        <v>141</v>
      </c>
      <c r="E38" s="289" t="s">
        <v>194</v>
      </c>
      <c r="F38" s="290">
        <v>1056.5999999999999</v>
      </c>
      <c r="G38" s="288" t="s">
        <v>159</v>
      </c>
      <c r="H38" s="288">
        <v>1</v>
      </c>
      <c r="I38" s="288"/>
      <c r="J38" s="290">
        <f t="shared" si="10"/>
        <v>1056.5999999999999</v>
      </c>
      <c r="K38" s="290">
        <f t="shared" si="11"/>
        <v>0</v>
      </c>
      <c r="L38" s="290">
        <f t="shared" si="12"/>
        <v>0</v>
      </c>
      <c r="M38" s="290">
        <f t="shared" si="13"/>
        <v>1056.5999999999999</v>
      </c>
      <c r="N38" s="290">
        <f t="shared" si="14"/>
        <v>0</v>
      </c>
      <c r="O38" s="291" t="str">
        <f t="shared" si="15"/>
        <v>Ok</v>
      </c>
      <c r="P38" s="288"/>
      <c r="Q38" s="292">
        <f>K38*'Bedarfsanalyse (Rahmenplan)'!$Q$6</f>
        <v>0</v>
      </c>
      <c r="R38" s="292">
        <f>K38*'Bedarfsanalyse (Rahmenplan)'!$R$6</f>
        <v>0</v>
      </c>
      <c r="S38" s="292">
        <f>(L38+M38)*'Bedarfsanalyse (Rahmenplan)'!$S$6</f>
        <v>20.330705396302722</v>
      </c>
      <c r="T38" s="288"/>
      <c r="U38" s="293">
        <f t="shared" si="16"/>
        <v>22</v>
      </c>
      <c r="V38" s="293">
        <f t="shared" si="16"/>
        <v>10</v>
      </c>
      <c r="W38" s="293">
        <f t="shared" si="16"/>
        <v>30</v>
      </c>
      <c r="X38" s="288"/>
      <c r="Y38" s="293">
        <f t="shared" si="36"/>
        <v>22</v>
      </c>
      <c r="Z38" s="293">
        <f t="shared" si="36"/>
        <v>5</v>
      </c>
      <c r="AA38" s="293">
        <f t="shared" si="36"/>
        <v>35</v>
      </c>
      <c r="AB38" s="288"/>
      <c r="AC38" s="293">
        <f t="shared" si="37"/>
        <v>22</v>
      </c>
      <c r="AD38" s="293">
        <f t="shared" si="37"/>
        <v>7.5</v>
      </c>
      <c r="AE38" s="293">
        <f t="shared" si="37"/>
        <v>50</v>
      </c>
      <c r="AF38" s="288"/>
      <c r="AG38" s="293">
        <f t="shared" si="17"/>
        <v>4</v>
      </c>
      <c r="AH38" s="294"/>
      <c r="AI38" s="295">
        <f t="shared" si="18"/>
        <v>0</v>
      </c>
      <c r="AJ38" s="295">
        <f t="shared" si="19"/>
        <v>0</v>
      </c>
      <c r="AK38" s="295">
        <f t="shared" si="20"/>
        <v>23.245199999999997</v>
      </c>
      <c r="AL38" s="295">
        <f t="shared" si="21"/>
        <v>0</v>
      </c>
      <c r="AM38" s="295">
        <f t="shared" si="22"/>
        <v>5</v>
      </c>
      <c r="AN38" s="295">
        <f t="shared" si="23"/>
        <v>7.9244999999999992</v>
      </c>
      <c r="AO38" s="295">
        <f t="shared" si="24"/>
        <v>0</v>
      </c>
      <c r="AP38" s="295">
        <f t="shared" si="25"/>
        <v>0</v>
      </c>
      <c r="AQ38" s="295">
        <f t="shared" si="26"/>
        <v>52.829999999999991</v>
      </c>
      <c r="AR38" s="295">
        <f t="shared" si="27"/>
        <v>0</v>
      </c>
      <c r="AS38" s="294"/>
      <c r="AT38" s="295">
        <f t="shared" si="28"/>
        <v>23.245199999999997</v>
      </c>
      <c r="AU38" s="295">
        <f t="shared" si="29"/>
        <v>12.924499999999998</v>
      </c>
      <c r="AV38" s="295">
        <f t="shared" si="30"/>
        <v>52.829999999999991</v>
      </c>
      <c r="AW38" s="294"/>
      <c r="AX38" s="338">
        <f t="shared" si="31"/>
        <v>5.87</v>
      </c>
      <c r="AY38" s="338">
        <f t="shared" si="31"/>
        <v>5.87</v>
      </c>
      <c r="AZ38" s="339">
        <f t="shared" si="32"/>
        <v>10882.98</v>
      </c>
      <c r="BA38" s="340">
        <f t="shared" si="33"/>
        <v>89.22399999999999</v>
      </c>
      <c r="BB38" s="294"/>
      <c r="BC38" s="346">
        <f t="shared" si="34"/>
        <v>10566</v>
      </c>
      <c r="BD38" s="346">
        <f t="shared" si="35"/>
        <v>1761</v>
      </c>
    </row>
    <row r="39" spans="1:56" x14ac:dyDescent="0.25">
      <c r="A39" s="288">
        <v>174314</v>
      </c>
      <c r="B39" s="288" t="s">
        <v>69</v>
      </c>
      <c r="C39" s="288" t="s">
        <v>131</v>
      </c>
      <c r="D39" s="288" t="s">
        <v>141</v>
      </c>
      <c r="E39" s="289" t="s">
        <v>194</v>
      </c>
      <c r="F39" s="290">
        <v>480.3</v>
      </c>
      <c r="G39" s="288" t="s">
        <v>159</v>
      </c>
      <c r="H39" s="288">
        <v>6</v>
      </c>
      <c r="I39" s="288"/>
      <c r="J39" s="290">
        <f t="shared" si="10"/>
        <v>2881.8</v>
      </c>
      <c r="K39" s="290">
        <f t="shared" si="11"/>
        <v>0</v>
      </c>
      <c r="L39" s="290">
        <f t="shared" si="12"/>
        <v>2881.8</v>
      </c>
      <c r="M39" s="290">
        <f t="shared" si="13"/>
        <v>0</v>
      </c>
      <c r="N39" s="290">
        <f t="shared" si="14"/>
        <v>0</v>
      </c>
      <c r="O39" s="291" t="str">
        <f t="shared" si="15"/>
        <v>Ok</v>
      </c>
      <c r="P39" s="288"/>
      <c r="Q39" s="292">
        <f>K39*'Bedarfsanalyse (Rahmenplan)'!$Q$6</f>
        <v>0</v>
      </c>
      <c r="R39" s="292">
        <f>K39*'Bedarfsanalyse (Rahmenplan)'!$R$6</f>
        <v>0</v>
      </c>
      <c r="S39" s="292">
        <f>(L39+M39)*'Bedarfsanalyse (Rahmenplan)'!$S$6</f>
        <v>55.450526983783071</v>
      </c>
      <c r="T39" s="288"/>
      <c r="U39" s="293">
        <f t="shared" si="16"/>
        <v>22</v>
      </c>
      <c r="V39" s="293">
        <f t="shared" si="16"/>
        <v>10</v>
      </c>
      <c r="W39" s="293">
        <f t="shared" si="16"/>
        <v>30</v>
      </c>
      <c r="X39" s="288"/>
      <c r="Y39" s="293">
        <f t="shared" si="36"/>
        <v>22</v>
      </c>
      <c r="Z39" s="293">
        <f t="shared" si="36"/>
        <v>5</v>
      </c>
      <c r="AA39" s="293">
        <f t="shared" si="36"/>
        <v>35</v>
      </c>
      <c r="AB39" s="288"/>
      <c r="AC39" s="293">
        <f t="shared" si="37"/>
        <v>22</v>
      </c>
      <c r="AD39" s="293">
        <f t="shared" si="37"/>
        <v>7.5</v>
      </c>
      <c r="AE39" s="293">
        <f t="shared" si="37"/>
        <v>50</v>
      </c>
      <c r="AF39" s="288"/>
      <c r="AG39" s="293">
        <f t="shared" si="17"/>
        <v>4</v>
      </c>
      <c r="AH39" s="294"/>
      <c r="AI39" s="295">
        <f t="shared" si="18"/>
        <v>0</v>
      </c>
      <c r="AJ39" s="295">
        <f t="shared" si="19"/>
        <v>63.399600000000007</v>
      </c>
      <c r="AK39" s="295">
        <f t="shared" si="20"/>
        <v>0</v>
      </c>
      <c r="AL39" s="295">
        <f t="shared" si="21"/>
        <v>0</v>
      </c>
      <c r="AM39" s="295">
        <f t="shared" si="22"/>
        <v>7.8818000000000001</v>
      </c>
      <c r="AN39" s="295">
        <f t="shared" si="23"/>
        <v>0</v>
      </c>
      <c r="AO39" s="295">
        <f t="shared" si="24"/>
        <v>0</v>
      </c>
      <c r="AP39" s="295">
        <f t="shared" si="25"/>
        <v>100.863</v>
      </c>
      <c r="AQ39" s="295">
        <f t="shared" si="26"/>
        <v>0</v>
      </c>
      <c r="AR39" s="295">
        <f t="shared" si="27"/>
        <v>0</v>
      </c>
      <c r="AS39" s="294"/>
      <c r="AT39" s="295">
        <f t="shared" si="28"/>
        <v>63.399600000000007</v>
      </c>
      <c r="AU39" s="295">
        <f t="shared" si="29"/>
        <v>7.8818000000000001</v>
      </c>
      <c r="AV39" s="295">
        <f t="shared" si="30"/>
        <v>100.863</v>
      </c>
      <c r="AW39" s="294"/>
      <c r="AX39" s="338">
        <f t="shared" si="31"/>
        <v>16.009999999999998</v>
      </c>
      <c r="AY39" s="338">
        <f t="shared" si="31"/>
        <v>16.009999999999998</v>
      </c>
      <c r="AZ39" s="339">
        <f t="shared" si="32"/>
        <v>29682.539999999994</v>
      </c>
      <c r="BA39" s="340">
        <f t="shared" si="33"/>
        <v>243.35199999999995</v>
      </c>
      <c r="BB39" s="294"/>
      <c r="BC39" s="346">
        <f t="shared" si="34"/>
        <v>28818</v>
      </c>
      <c r="BD39" s="346">
        <f t="shared" si="35"/>
        <v>4803</v>
      </c>
    </row>
    <row r="40" spans="1:56" x14ac:dyDescent="0.25">
      <c r="A40" s="247">
        <v>151224</v>
      </c>
      <c r="B40" s="247" t="s">
        <v>140</v>
      </c>
      <c r="C40" s="247" t="s">
        <v>131</v>
      </c>
      <c r="D40" s="247" t="s">
        <v>144</v>
      </c>
      <c r="E40" s="248" t="s">
        <v>195</v>
      </c>
      <c r="F40" s="250">
        <v>511.1</v>
      </c>
      <c r="G40" s="247" t="s">
        <v>160</v>
      </c>
      <c r="H40" s="247">
        <v>3</v>
      </c>
      <c r="J40" s="250">
        <f t="shared" si="10"/>
        <v>1533.3000000000002</v>
      </c>
      <c r="K40" s="250">
        <f t="shared" si="11"/>
        <v>0</v>
      </c>
      <c r="L40" s="250">
        <f t="shared" si="12"/>
        <v>1533.3000000000002</v>
      </c>
      <c r="M40" s="250">
        <f t="shared" si="13"/>
        <v>0</v>
      </c>
      <c r="N40" s="250">
        <f t="shared" si="14"/>
        <v>0</v>
      </c>
      <c r="O40" s="263" t="str">
        <f t="shared" si="15"/>
        <v>Ok</v>
      </c>
      <c r="Q40" s="265">
        <f>K40*'Bedarfsanalyse (Rahmenplan)'!$Q$6</f>
        <v>0</v>
      </c>
      <c r="R40" s="265">
        <f>K40*'Bedarfsanalyse (Rahmenplan)'!$R$6</f>
        <v>0</v>
      </c>
      <c r="S40" s="265">
        <f>(L40+M40)*'Bedarfsanalyse (Rahmenplan)'!$S$6</f>
        <v>29.50319002853584</v>
      </c>
      <c r="U40" s="274">
        <f t="shared" si="16"/>
        <v>22</v>
      </c>
      <c r="V40" s="274">
        <f t="shared" si="16"/>
        <v>10</v>
      </c>
      <c r="W40" s="274">
        <f t="shared" si="16"/>
        <v>30</v>
      </c>
      <c r="Y40" s="274">
        <f t="shared" si="36"/>
        <v>22</v>
      </c>
      <c r="Z40" s="274">
        <f t="shared" si="36"/>
        <v>5</v>
      </c>
      <c r="AA40" s="274">
        <f t="shared" si="36"/>
        <v>35</v>
      </c>
      <c r="AC40" s="274">
        <f t="shared" si="37"/>
        <v>22</v>
      </c>
      <c r="AD40" s="274">
        <f t="shared" si="37"/>
        <v>7.5</v>
      </c>
      <c r="AE40" s="274">
        <f t="shared" si="37"/>
        <v>50</v>
      </c>
      <c r="AG40" s="274">
        <f t="shared" si="17"/>
        <v>4</v>
      </c>
      <c r="AI40" s="279">
        <f t="shared" si="18"/>
        <v>0</v>
      </c>
      <c r="AJ40" s="279">
        <f t="shared" si="19"/>
        <v>33.732600000000005</v>
      </c>
      <c r="AK40" s="279">
        <f t="shared" si="20"/>
        <v>0</v>
      </c>
      <c r="AL40" s="279">
        <f t="shared" si="21"/>
        <v>0</v>
      </c>
      <c r="AM40" s="279">
        <f t="shared" si="22"/>
        <v>6.5333000000000006</v>
      </c>
      <c r="AN40" s="279">
        <f t="shared" si="23"/>
        <v>0</v>
      </c>
      <c r="AO40" s="279">
        <f t="shared" si="24"/>
        <v>0</v>
      </c>
      <c r="AP40" s="279">
        <f t="shared" si="25"/>
        <v>53.665500000000009</v>
      </c>
      <c r="AQ40" s="279">
        <f t="shared" si="26"/>
        <v>0</v>
      </c>
      <c r="AR40" s="279">
        <f t="shared" si="27"/>
        <v>0</v>
      </c>
      <c r="AT40" s="279">
        <f t="shared" si="28"/>
        <v>33.732600000000005</v>
      </c>
      <c r="AU40" s="279">
        <f t="shared" si="29"/>
        <v>6.5333000000000006</v>
      </c>
      <c r="AV40" s="279">
        <f t="shared" si="30"/>
        <v>53.665500000000009</v>
      </c>
      <c r="AX40" s="329">
        <f t="shared" si="31"/>
        <v>8.5183333333333344</v>
      </c>
      <c r="AY40" s="329">
        <f t="shared" si="31"/>
        <v>8.5183333333333344</v>
      </c>
      <c r="AZ40" s="332">
        <f t="shared" si="32"/>
        <v>15792.990000000002</v>
      </c>
      <c r="BA40" s="331">
        <f t="shared" si="33"/>
        <v>129.4786666666667</v>
      </c>
      <c r="BC40" s="344">
        <f t="shared" si="34"/>
        <v>15333.000000000002</v>
      </c>
      <c r="BD40" s="344">
        <f t="shared" si="35"/>
        <v>2555.5000000000005</v>
      </c>
    </row>
    <row r="41" spans="1:56" x14ac:dyDescent="0.25">
      <c r="A41" s="247">
        <v>132024</v>
      </c>
      <c r="B41" s="247" t="s">
        <v>140</v>
      </c>
      <c r="C41" s="247" t="s">
        <v>131</v>
      </c>
      <c r="D41" s="247">
        <v>1</v>
      </c>
      <c r="E41" s="248" t="s">
        <v>196</v>
      </c>
      <c r="F41" s="250">
        <v>498.3</v>
      </c>
      <c r="G41" s="247" t="s">
        <v>161</v>
      </c>
      <c r="H41" s="247">
        <v>5</v>
      </c>
      <c r="J41" s="250">
        <f t="shared" si="10"/>
        <v>2491.5</v>
      </c>
      <c r="K41" s="250">
        <f t="shared" si="11"/>
        <v>0</v>
      </c>
      <c r="L41" s="250">
        <f t="shared" si="12"/>
        <v>2491.5</v>
      </c>
      <c r="M41" s="250">
        <f t="shared" si="13"/>
        <v>0</v>
      </c>
      <c r="N41" s="250">
        <f t="shared" si="14"/>
        <v>0</v>
      </c>
      <c r="O41" s="263" t="str">
        <f t="shared" si="15"/>
        <v>Ok</v>
      </c>
      <c r="Q41" s="265">
        <f>K41*'Bedarfsanalyse (Rahmenplan)'!$Q$6</f>
        <v>0</v>
      </c>
      <c r="R41" s="265">
        <f>K41*'Bedarfsanalyse (Rahmenplan)'!$R$6</f>
        <v>0</v>
      </c>
      <c r="S41" s="265">
        <f>(L41+M41)*'Bedarfsanalyse (Rahmenplan)'!$S$6</f>
        <v>47.940519113087483</v>
      </c>
      <c r="U41" s="274">
        <f t="shared" si="16"/>
        <v>22</v>
      </c>
      <c r="V41" s="274">
        <f t="shared" si="16"/>
        <v>10</v>
      </c>
      <c r="W41" s="274">
        <f t="shared" si="16"/>
        <v>30</v>
      </c>
      <c r="Y41" s="274">
        <f t="shared" si="36"/>
        <v>22</v>
      </c>
      <c r="Z41" s="274">
        <f t="shared" si="36"/>
        <v>5</v>
      </c>
      <c r="AA41" s="274">
        <f t="shared" si="36"/>
        <v>35</v>
      </c>
      <c r="AC41" s="274">
        <f t="shared" si="37"/>
        <v>22</v>
      </c>
      <c r="AD41" s="274">
        <f t="shared" si="37"/>
        <v>7.5</v>
      </c>
      <c r="AE41" s="274">
        <f t="shared" si="37"/>
        <v>50</v>
      </c>
      <c r="AG41" s="274">
        <f t="shared" si="17"/>
        <v>4</v>
      </c>
      <c r="AI41" s="279">
        <f t="shared" si="18"/>
        <v>0</v>
      </c>
      <c r="AJ41" s="279">
        <f t="shared" si="19"/>
        <v>54.813000000000002</v>
      </c>
      <c r="AK41" s="279">
        <f t="shared" si="20"/>
        <v>0</v>
      </c>
      <c r="AL41" s="279">
        <f t="shared" si="21"/>
        <v>0</v>
      </c>
      <c r="AM41" s="279">
        <f t="shared" si="22"/>
        <v>7.4915000000000003</v>
      </c>
      <c r="AN41" s="279">
        <f t="shared" si="23"/>
        <v>0</v>
      </c>
      <c r="AO41" s="279">
        <f t="shared" si="24"/>
        <v>0</v>
      </c>
      <c r="AP41" s="279">
        <f t="shared" si="25"/>
        <v>87.202500000000001</v>
      </c>
      <c r="AQ41" s="279">
        <f t="shared" si="26"/>
        <v>0</v>
      </c>
      <c r="AR41" s="279">
        <f t="shared" si="27"/>
        <v>0</v>
      </c>
      <c r="AT41" s="279">
        <f t="shared" si="28"/>
        <v>54.813000000000002</v>
      </c>
      <c r="AU41" s="279">
        <f t="shared" si="29"/>
        <v>7.4915000000000003</v>
      </c>
      <c r="AV41" s="279">
        <f t="shared" si="30"/>
        <v>87.202500000000001</v>
      </c>
      <c r="AX41" s="329">
        <f t="shared" si="31"/>
        <v>13.841666666666665</v>
      </c>
      <c r="AY41" s="329">
        <f t="shared" si="31"/>
        <v>13.841666666666665</v>
      </c>
      <c r="AZ41" s="332">
        <f t="shared" si="32"/>
        <v>25662.449999999997</v>
      </c>
      <c r="BA41" s="331">
        <f t="shared" si="33"/>
        <v>210.39333333333329</v>
      </c>
      <c r="BC41" s="344">
        <f t="shared" si="34"/>
        <v>24915</v>
      </c>
      <c r="BD41" s="344">
        <f t="shared" si="35"/>
        <v>4152.5</v>
      </c>
    </row>
    <row r="42" spans="1:56" x14ac:dyDescent="0.25">
      <c r="A42" s="280">
        <v>133022</v>
      </c>
      <c r="B42" s="280" t="s">
        <v>140</v>
      </c>
      <c r="C42" s="280" t="s">
        <v>31</v>
      </c>
      <c r="D42" s="280">
        <v>1</v>
      </c>
      <c r="E42" s="281" t="s">
        <v>197</v>
      </c>
      <c r="F42" s="282">
        <v>1847.9</v>
      </c>
      <c r="G42" s="280" t="s">
        <v>162</v>
      </c>
      <c r="H42" s="280">
        <v>5</v>
      </c>
      <c r="I42" s="280"/>
      <c r="J42" s="282">
        <f t="shared" si="10"/>
        <v>9239.5</v>
      </c>
      <c r="K42" s="282">
        <f t="shared" si="11"/>
        <v>0</v>
      </c>
      <c r="L42" s="282">
        <f t="shared" si="12"/>
        <v>0</v>
      </c>
      <c r="M42" s="282">
        <f t="shared" si="13"/>
        <v>0</v>
      </c>
      <c r="N42" s="282">
        <f t="shared" si="14"/>
        <v>9239.5</v>
      </c>
      <c r="O42" s="283" t="str">
        <f t="shared" si="15"/>
        <v>Ok</v>
      </c>
      <c r="P42" s="280"/>
      <c r="Q42" s="284">
        <f>K42*'Bedarfsanalyse (Rahmenplan)'!$Q$6</f>
        <v>0</v>
      </c>
      <c r="R42" s="284">
        <f>K42*'Bedarfsanalyse (Rahmenplan)'!$R$6</f>
        <v>0</v>
      </c>
      <c r="S42" s="284">
        <f>(L42+M42)*'Bedarfsanalyse (Rahmenplan)'!$S$6</f>
        <v>0</v>
      </c>
      <c r="T42" s="280"/>
      <c r="U42" s="285">
        <f t="shared" si="16"/>
        <v>22</v>
      </c>
      <c r="V42" s="285">
        <f t="shared" si="16"/>
        <v>10</v>
      </c>
      <c r="W42" s="285">
        <f t="shared" si="16"/>
        <v>30</v>
      </c>
      <c r="X42" s="280"/>
      <c r="Y42" s="285">
        <f t="shared" si="36"/>
        <v>22</v>
      </c>
      <c r="Z42" s="285">
        <f t="shared" si="36"/>
        <v>5</v>
      </c>
      <c r="AA42" s="285">
        <f t="shared" si="36"/>
        <v>35</v>
      </c>
      <c r="AB42" s="280"/>
      <c r="AC42" s="285">
        <f t="shared" si="37"/>
        <v>22</v>
      </c>
      <c r="AD42" s="285">
        <f t="shared" si="37"/>
        <v>7.5</v>
      </c>
      <c r="AE42" s="285">
        <f t="shared" si="37"/>
        <v>50</v>
      </c>
      <c r="AF42" s="280"/>
      <c r="AG42" s="285">
        <f t="shared" si="17"/>
        <v>4</v>
      </c>
      <c r="AH42" s="286"/>
      <c r="AI42" s="287">
        <f t="shared" si="18"/>
        <v>0</v>
      </c>
      <c r="AJ42" s="287">
        <f t="shared" si="19"/>
        <v>0</v>
      </c>
      <c r="AK42" s="287">
        <f t="shared" si="20"/>
        <v>0</v>
      </c>
      <c r="AL42" s="287">
        <f t="shared" si="21"/>
        <v>0</v>
      </c>
      <c r="AM42" s="287">
        <f t="shared" si="22"/>
        <v>5</v>
      </c>
      <c r="AN42" s="287">
        <f t="shared" si="23"/>
        <v>0</v>
      </c>
      <c r="AO42" s="287">
        <f t="shared" si="24"/>
        <v>0</v>
      </c>
      <c r="AP42" s="287">
        <f t="shared" si="25"/>
        <v>0</v>
      </c>
      <c r="AQ42" s="287">
        <f t="shared" si="26"/>
        <v>0</v>
      </c>
      <c r="AR42" s="287">
        <f t="shared" si="27"/>
        <v>36.957999999999998</v>
      </c>
      <c r="AS42" s="286"/>
      <c r="AT42" s="287">
        <f t="shared" si="28"/>
        <v>0</v>
      </c>
      <c r="AU42" s="287">
        <f t="shared" si="29"/>
        <v>5</v>
      </c>
      <c r="AV42" s="287">
        <f t="shared" si="30"/>
        <v>36.957999999999998</v>
      </c>
      <c r="AW42" s="334"/>
      <c r="AX42" s="335">
        <f t="shared" si="31"/>
        <v>0</v>
      </c>
      <c r="AY42" s="335">
        <f t="shared" si="31"/>
        <v>0</v>
      </c>
      <c r="AZ42" s="336">
        <f t="shared" si="32"/>
        <v>0</v>
      </c>
      <c r="BA42" s="337">
        <f t="shared" si="33"/>
        <v>0</v>
      </c>
      <c r="BB42" s="334"/>
      <c r="BC42" s="345">
        <f t="shared" si="34"/>
        <v>92395</v>
      </c>
      <c r="BD42" s="345">
        <f t="shared" si="35"/>
        <v>15399.166666666666</v>
      </c>
    </row>
    <row r="43" spans="1:56" x14ac:dyDescent="0.25">
      <c r="A43" s="247">
        <v>187523</v>
      </c>
      <c r="B43" s="247" t="s">
        <v>140</v>
      </c>
      <c r="C43" s="247" t="s">
        <v>28</v>
      </c>
      <c r="D43" s="247" t="s">
        <v>150</v>
      </c>
      <c r="E43" s="248" t="s">
        <v>198</v>
      </c>
      <c r="F43" s="250">
        <v>113.8</v>
      </c>
      <c r="G43" s="247" t="s">
        <v>163</v>
      </c>
      <c r="H43" s="247">
        <v>1</v>
      </c>
      <c r="J43" s="250">
        <f t="shared" si="10"/>
        <v>113.8</v>
      </c>
      <c r="K43" s="250">
        <f t="shared" si="11"/>
        <v>113.8</v>
      </c>
      <c r="L43" s="250">
        <f t="shared" si="12"/>
        <v>0</v>
      </c>
      <c r="M43" s="250">
        <f t="shared" si="13"/>
        <v>0</v>
      </c>
      <c r="N43" s="250">
        <f t="shared" si="14"/>
        <v>0</v>
      </c>
      <c r="O43" s="263" t="str">
        <f t="shared" si="15"/>
        <v>Ok</v>
      </c>
      <c r="Q43" s="265">
        <f>K43*'Bedarfsanalyse (Rahmenplan)'!$Q$6</f>
        <v>2.1308980095561014</v>
      </c>
      <c r="R43" s="265">
        <f>K43*'Bedarfsanalyse (Rahmenplan)'!$R$6</f>
        <v>0.96859000434368259</v>
      </c>
      <c r="S43" s="265">
        <f>(L43+M43)*'Bedarfsanalyse (Rahmenplan)'!$S$6</f>
        <v>0</v>
      </c>
      <c r="U43" s="274">
        <f t="shared" si="16"/>
        <v>22</v>
      </c>
      <c r="V43" s="274">
        <f t="shared" si="16"/>
        <v>10</v>
      </c>
      <c r="W43" s="274">
        <f t="shared" si="16"/>
        <v>30</v>
      </c>
      <c r="Y43" s="274">
        <f t="shared" si="36"/>
        <v>22</v>
      </c>
      <c r="Z43" s="274">
        <f t="shared" si="36"/>
        <v>5</v>
      </c>
      <c r="AA43" s="274">
        <f t="shared" si="36"/>
        <v>35</v>
      </c>
      <c r="AC43" s="274">
        <f t="shared" si="37"/>
        <v>22</v>
      </c>
      <c r="AD43" s="274">
        <f t="shared" si="37"/>
        <v>7.5</v>
      </c>
      <c r="AE43" s="274">
        <f t="shared" si="37"/>
        <v>50</v>
      </c>
      <c r="AG43" s="274">
        <f t="shared" si="17"/>
        <v>4</v>
      </c>
      <c r="AI43" s="279">
        <f t="shared" si="18"/>
        <v>2.5036</v>
      </c>
      <c r="AJ43" s="279">
        <f t="shared" si="19"/>
        <v>0</v>
      </c>
      <c r="AK43" s="279">
        <f t="shared" si="20"/>
        <v>0</v>
      </c>
      <c r="AL43" s="279">
        <f t="shared" si="21"/>
        <v>1.1379999999999999</v>
      </c>
      <c r="AM43" s="279">
        <f t="shared" si="22"/>
        <v>5</v>
      </c>
      <c r="AN43" s="279">
        <f t="shared" si="23"/>
        <v>0</v>
      </c>
      <c r="AO43" s="279">
        <f t="shared" si="24"/>
        <v>3.4140000000000001</v>
      </c>
      <c r="AP43" s="279">
        <f t="shared" si="25"/>
        <v>0</v>
      </c>
      <c r="AQ43" s="279">
        <f t="shared" si="26"/>
        <v>0</v>
      </c>
      <c r="AR43" s="279">
        <f t="shared" si="27"/>
        <v>0</v>
      </c>
      <c r="AT43" s="279">
        <f t="shared" si="28"/>
        <v>2.5036</v>
      </c>
      <c r="AU43" s="279">
        <f t="shared" si="29"/>
        <v>6.1379999999999999</v>
      </c>
      <c r="AV43" s="279">
        <f t="shared" si="30"/>
        <v>3.4140000000000001</v>
      </c>
      <c r="AX43" s="329">
        <f t="shared" si="31"/>
        <v>0.20340390091217334</v>
      </c>
      <c r="AY43" s="329">
        <f t="shared" si="31"/>
        <v>0.20340390091217334</v>
      </c>
      <c r="AZ43" s="332">
        <f t="shared" si="32"/>
        <v>377.11083229116929</v>
      </c>
      <c r="BA43" s="331">
        <f t="shared" si="33"/>
        <v>3.0917392938650345</v>
      </c>
      <c r="BC43" s="344">
        <f t="shared" si="34"/>
        <v>1138</v>
      </c>
      <c r="BD43" s="344">
        <f t="shared" si="35"/>
        <v>189.66666666666666</v>
      </c>
    </row>
    <row r="44" spans="1:56" x14ac:dyDescent="0.25">
      <c r="A44" s="247">
        <v>187623</v>
      </c>
      <c r="B44" s="247" t="s">
        <v>140</v>
      </c>
      <c r="C44" s="247" t="s">
        <v>28</v>
      </c>
      <c r="D44" s="247" t="s">
        <v>150</v>
      </c>
      <c r="E44" s="248" t="s">
        <v>198</v>
      </c>
      <c r="F44" s="250">
        <v>113.8</v>
      </c>
      <c r="G44" s="247" t="s">
        <v>163</v>
      </c>
      <c r="H44" s="247">
        <v>1</v>
      </c>
      <c r="J44" s="250">
        <f t="shared" si="10"/>
        <v>113.8</v>
      </c>
      <c r="K44" s="250">
        <f t="shared" si="11"/>
        <v>113.8</v>
      </c>
      <c r="L44" s="250">
        <f t="shared" si="12"/>
        <v>0</v>
      </c>
      <c r="M44" s="250">
        <f t="shared" si="13"/>
        <v>0</v>
      </c>
      <c r="N44" s="250">
        <f t="shared" si="14"/>
        <v>0</v>
      </c>
      <c r="O44" s="263" t="str">
        <f t="shared" si="15"/>
        <v>Ok</v>
      </c>
      <c r="Q44" s="265">
        <f>K44*'Bedarfsanalyse (Rahmenplan)'!$Q$6</f>
        <v>2.1308980095561014</v>
      </c>
      <c r="R44" s="265">
        <f>K44*'Bedarfsanalyse (Rahmenplan)'!$R$6</f>
        <v>0.96859000434368259</v>
      </c>
      <c r="S44" s="265">
        <f>(L44+M44)*'Bedarfsanalyse (Rahmenplan)'!$S$6</f>
        <v>0</v>
      </c>
      <c r="U44" s="274">
        <f t="shared" si="16"/>
        <v>22</v>
      </c>
      <c r="V44" s="274">
        <f t="shared" si="16"/>
        <v>10</v>
      </c>
      <c r="W44" s="274">
        <f t="shared" si="16"/>
        <v>30</v>
      </c>
      <c r="Y44" s="274">
        <f t="shared" si="36"/>
        <v>22</v>
      </c>
      <c r="Z44" s="274">
        <f t="shared" si="36"/>
        <v>5</v>
      </c>
      <c r="AA44" s="274">
        <f t="shared" si="36"/>
        <v>35</v>
      </c>
      <c r="AC44" s="274">
        <f t="shared" si="37"/>
        <v>22</v>
      </c>
      <c r="AD44" s="274">
        <f t="shared" si="37"/>
        <v>7.5</v>
      </c>
      <c r="AE44" s="274">
        <f t="shared" si="37"/>
        <v>50</v>
      </c>
      <c r="AG44" s="274">
        <f t="shared" si="17"/>
        <v>4</v>
      </c>
      <c r="AI44" s="279">
        <f t="shared" si="18"/>
        <v>2.5036</v>
      </c>
      <c r="AJ44" s="279">
        <f t="shared" si="19"/>
        <v>0</v>
      </c>
      <c r="AK44" s="279">
        <f t="shared" si="20"/>
        <v>0</v>
      </c>
      <c r="AL44" s="279">
        <f t="shared" si="21"/>
        <v>1.1379999999999999</v>
      </c>
      <c r="AM44" s="279">
        <f t="shared" si="22"/>
        <v>5</v>
      </c>
      <c r="AN44" s="279">
        <f t="shared" si="23"/>
        <v>0</v>
      </c>
      <c r="AO44" s="279">
        <f t="shared" si="24"/>
        <v>3.4140000000000001</v>
      </c>
      <c r="AP44" s="279">
        <f t="shared" si="25"/>
        <v>0</v>
      </c>
      <c r="AQ44" s="279">
        <f t="shared" si="26"/>
        <v>0</v>
      </c>
      <c r="AR44" s="279">
        <f t="shared" si="27"/>
        <v>0</v>
      </c>
      <c r="AT44" s="279">
        <f t="shared" si="28"/>
        <v>2.5036</v>
      </c>
      <c r="AU44" s="279">
        <f t="shared" si="29"/>
        <v>6.1379999999999999</v>
      </c>
      <c r="AV44" s="279">
        <f t="shared" si="30"/>
        <v>3.4140000000000001</v>
      </c>
      <c r="AX44" s="329">
        <f t="shared" si="31"/>
        <v>0.20340390091217334</v>
      </c>
      <c r="AY44" s="329">
        <f t="shared" si="31"/>
        <v>0.20340390091217334</v>
      </c>
      <c r="AZ44" s="332">
        <f t="shared" si="32"/>
        <v>377.11083229116929</v>
      </c>
      <c r="BA44" s="331">
        <f t="shared" si="33"/>
        <v>3.0917392938650345</v>
      </c>
      <c r="BC44" s="344">
        <f t="shared" si="34"/>
        <v>1138</v>
      </c>
      <c r="BD44" s="344">
        <f t="shared" si="35"/>
        <v>189.66666666666666</v>
      </c>
    </row>
    <row r="45" spans="1:56" x14ac:dyDescent="0.25">
      <c r="A45" s="247">
        <v>187323</v>
      </c>
      <c r="B45" s="247" t="s">
        <v>140</v>
      </c>
      <c r="C45" s="247" t="s">
        <v>28</v>
      </c>
      <c r="D45" s="247" t="s">
        <v>150</v>
      </c>
      <c r="E45" s="248" t="s">
        <v>198</v>
      </c>
      <c r="F45" s="250">
        <v>113.8</v>
      </c>
      <c r="G45" s="247" t="s">
        <v>163</v>
      </c>
      <c r="H45" s="247">
        <v>1</v>
      </c>
      <c r="J45" s="250">
        <f t="shared" si="10"/>
        <v>113.8</v>
      </c>
      <c r="K45" s="250">
        <f t="shared" si="11"/>
        <v>113.8</v>
      </c>
      <c r="L45" s="250">
        <f t="shared" si="12"/>
        <v>0</v>
      </c>
      <c r="M45" s="250">
        <f t="shared" si="13"/>
        <v>0</v>
      </c>
      <c r="N45" s="250">
        <f t="shared" si="14"/>
        <v>0</v>
      </c>
      <c r="O45" s="263" t="str">
        <f t="shared" si="15"/>
        <v>Ok</v>
      </c>
      <c r="Q45" s="265">
        <f>K45*'Bedarfsanalyse (Rahmenplan)'!$Q$6</f>
        <v>2.1308980095561014</v>
      </c>
      <c r="R45" s="265">
        <f>K45*'Bedarfsanalyse (Rahmenplan)'!$R$6</f>
        <v>0.96859000434368259</v>
      </c>
      <c r="S45" s="265">
        <f>(L45+M45)*'Bedarfsanalyse (Rahmenplan)'!$S$6</f>
        <v>0</v>
      </c>
      <c r="U45" s="274">
        <f t="shared" si="16"/>
        <v>22</v>
      </c>
      <c r="V45" s="274">
        <f t="shared" si="16"/>
        <v>10</v>
      </c>
      <c r="W45" s="274">
        <f t="shared" si="16"/>
        <v>30</v>
      </c>
      <c r="Y45" s="274">
        <f t="shared" si="36"/>
        <v>22</v>
      </c>
      <c r="Z45" s="274">
        <f t="shared" si="36"/>
        <v>5</v>
      </c>
      <c r="AA45" s="274">
        <f t="shared" si="36"/>
        <v>35</v>
      </c>
      <c r="AC45" s="274">
        <f t="shared" si="37"/>
        <v>22</v>
      </c>
      <c r="AD45" s="274">
        <f t="shared" si="37"/>
        <v>7.5</v>
      </c>
      <c r="AE45" s="274">
        <f t="shared" si="37"/>
        <v>50</v>
      </c>
      <c r="AG45" s="274">
        <f t="shared" si="17"/>
        <v>4</v>
      </c>
      <c r="AI45" s="279">
        <f t="shared" si="18"/>
        <v>2.5036</v>
      </c>
      <c r="AJ45" s="279">
        <f t="shared" si="19"/>
        <v>0</v>
      </c>
      <c r="AK45" s="279">
        <f t="shared" si="20"/>
        <v>0</v>
      </c>
      <c r="AL45" s="279">
        <f t="shared" si="21"/>
        <v>1.1379999999999999</v>
      </c>
      <c r="AM45" s="279">
        <f t="shared" si="22"/>
        <v>5</v>
      </c>
      <c r="AN45" s="279">
        <f t="shared" si="23"/>
        <v>0</v>
      </c>
      <c r="AO45" s="279">
        <f t="shared" si="24"/>
        <v>3.4140000000000001</v>
      </c>
      <c r="AP45" s="279">
        <f t="shared" si="25"/>
        <v>0</v>
      </c>
      <c r="AQ45" s="279">
        <f t="shared" si="26"/>
        <v>0</v>
      </c>
      <c r="AR45" s="279">
        <f t="shared" si="27"/>
        <v>0</v>
      </c>
      <c r="AT45" s="279">
        <f t="shared" si="28"/>
        <v>2.5036</v>
      </c>
      <c r="AU45" s="279">
        <f t="shared" si="29"/>
        <v>6.1379999999999999</v>
      </c>
      <c r="AV45" s="279">
        <f t="shared" si="30"/>
        <v>3.4140000000000001</v>
      </c>
      <c r="AX45" s="329">
        <f t="shared" si="31"/>
        <v>0.20340390091217334</v>
      </c>
      <c r="AY45" s="329">
        <f t="shared" si="31"/>
        <v>0.20340390091217334</v>
      </c>
      <c r="AZ45" s="332">
        <f t="shared" si="32"/>
        <v>377.11083229116929</v>
      </c>
      <c r="BA45" s="331">
        <f t="shared" si="33"/>
        <v>3.0917392938650345</v>
      </c>
      <c r="BC45" s="344">
        <f t="shared" si="34"/>
        <v>1138</v>
      </c>
      <c r="BD45" s="344">
        <f t="shared" si="35"/>
        <v>189.66666666666666</v>
      </c>
    </row>
    <row r="46" spans="1:56" x14ac:dyDescent="0.25">
      <c r="A46" s="247">
        <v>187423</v>
      </c>
      <c r="B46" s="247" t="s">
        <v>140</v>
      </c>
      <c r="C46" s="247" t="s">
        <v>28</v>
      </c>
      <c r="D46" s="247" t="s">
        <v>150</v>
      </c>
      <c r="E46" s="248" t="s">
        <v>198</v>
      </c>
      <c r="F46" s="250">
        <v>390.2</v>
      </c>
      <c r="G46" s="247" t="s">
        <v>163</v>
      </c>
      <c r="H46" s="247">
        <v>3</v>
      </c>
      <c r="J46" s="250">
        <f t="shared" si="10"/>
        <v>1170.5999999999999</v>
      </c>
      <c r="K46" s="250">
        <f t="shared" si="11"/>
        <v>1170.5999999999999</v>
      </c>
      <c r="L46" s="250">
        <f t="shared" si="12"/>
        <v>0</v>
      </c>
      <c r="M46" s="250">
        <f t="shared" si="13"/>
        <v>0</v>
      </c>
      <c r="N46" s="250">
        <f t="shared" si="14"/>
        <v>0</v>
      </c>
      <c r="O46" s="263" t="str">
        <f t="shared" si="15"/>
        <v>Ok</v>
      </c>
      <c r="Q46" s="265">
        <f>K46*'Bedarfsanalyse (Rahmenplan)'!$Q$6</f>
        <v>21.919413093026119</v>
      </c>
      <c r="R46" s="265">
        <f>K46*'Bedarfsanalyse (Rahmenplan)'!$R$6</f>
        <v>9.9633695877391446</v>
      </c>
      <c r="S46" s="265">
        <f>(L46+M46)*'Bedarfsanalyse (Rahmenplan)'!$S$6</f>
        <v>0</v>
      </c>
      <c r="U46" s="274">
        <f t="shared" ref="U46:W71" si="38">U$12</f>
        <v>22</v>
      </c>
      <c r="V46" s="274">
        <f t="shared" si="38"/>
        <v>10</v>
      </c>
      <c r="W46" s="274">
        <f t="shared" si="38"/>
        <v>30</v>
      </c>
      <c r="Y46" s="274">
        <f t="shared" si="36"/>
        <v>22</v>
      </c>
      <c r="Z46" s="274">
        <f t="shared" si="36"/>
        <v>5</v>
      </c>
      <c r="AA46" s="274">
        <f t="shared" si="36"/>
        <v>35</v>
      </c>
      <c r="AC46" s="274">
        <f t="shared" si="37"/>
        <v>22</v>
      </c>
      <c r="AD46" s="274">
        <f t="shared" si="37"/>
        <v>7.5</v>
      </c>
      <c r="AE46" s="274">
        <f t="shared" si="37"/>
        <v>50</v>
      </c>
      <c r="AG46" s="274">
        <f t="shared" si="17"/>
        <v>4</v>
      </c>
      <c r="AI46" s="279">
        <f t="shared" si="18"/>
        <v>25.753199999999996</v>
      </c>
      <c r="AJ46" s="279">
        <f t="shared" si="19"/>
        <v>0</v>
      </c>
      <c r="AK46" s="279">
        <f t="shared" si="20"/>
        <v>0</v>
      </c>
      <c r="AL46" s="279">
        <f t="shared" si="21"/>
        <v>11.706</v>
      </c>
      <c r="AM46" s="279">
        <f t="shared" si="22"/>
        <v>5</v>
      </c>
      <c r="AN46" s="279">
        <f t="shared" si="23"/>
        <v>0</v>
      </c>
      <c r="AO46" s="279">
        <f t="shared" si="24"/>
        <v>35.118000000000002</v>
      </c>
      <c r="AP46" s="279">
        <f t="shared" si="25"/>
        <v>0</v>
      </c>
      <c r="AQ46" s="279">
        <f t="shared" si="26"/>
        <v>0</v>
      </c>
      <c r="AR46" s="279">
        <f t="shared" si="27"/>
        <v>0</v>
      </c>
      <c r="AT46" s="279">
        <f t="shared" si="28"/>
        <v>25.753199999999996</v>
      </c>
      <c r="AU46" s="279">
        <f t="shared" si="29"/>
        <v>16.706</v>
      </c>
      <c r="AV46" s="279">
        <f t="shared" si="30"/>
        <v>35.118000000000002</v>
      </c>
      <c r="AX46" s="329">
        <f t="shared" si="31"/>
        <v>2.0923076134252203</v>
      </c>
      <c r="AY46" s="329">
        <f t="shared" si="31"/>
        <v>2.0923076134252203</v>
      </c>
      <c r="AZ46" s="332">
        <f t="shared" si="32"/>
        <v>3879.1383152903582</v>
      </c>
      <c r="BA46" s="331">
        <f t="shared" si="33"/>
        <v>31.803075724063348</v>
      </c>
      <c r="BC46" s="344">
        <f t="shared" si="34"/>
        <v>11706</v>
      </c>
      <c r="BD46" s="344">
        <f t="shared" si="35"/>
        <v>1951</v>
      </c>
    </row>
    <row r="47" spans="1:56" x14ac:dyDescent="0.25">
      <c r="A47" s="247">
        <v>187123</v>
      </c>
      <c r="B47" s="247" t="s">
        <v>140</v>
      </c>
      <c r="C47" s="247" t="s">
        <v>28</v>
      </c>
      <c r="D47" s="247" t="s">
        <v>150</v>
      </c>
      <c r="E47" s="248" t="s">
        <v>198</v>
      </c>
      <c r="F47" s="250">
        <v>390.2</v>
      </c>
      <c r="G47" s="247" t="s">
        <v>163</v>
      </c>
      <c r="H47" s="247">
        <v>3</v>
      </c>
      <c r="J47" s="250">
        <f t="shared" si="10"/>
        <v>1170.5999999999999</v>
      </c>
      <c r="K47" s="250">
        <f t="shared" si="11"/>
        <v>1170.5999999999999</v>
      </c>
      <c r="L47" s="250">
        <f t="shared" si="12"/>
        <v>0</v>
      </c>
      <c r="M47" s="250">
        <f t="shared" si="13"/>
        <v>0</v>
      </c>
      <c r="N47" s="250">
        <f t="shared" si="14"/>
        <v>0</v>
      </c>
      <c r="O47" s="263" t="str">
        <f t="shared" si="15"/>
        <v>Ok</v>
      </c>
      <c r="Q47" s="265">
        <f>K47*'Bedarfsanalyse (Rahmenplan)'!$Q$6</f>
        <v>21.919413093026119</v>
      </c>
      <c r="R47" s="265">
        <f>K47*'Bedarfsanalyse (Rahmenplan)'!$R$6</f>
        <v>9.9633695877391446</v>
      </c>
      <c r="S47" s="265">
        <f>(L47+M47)*'Bedarfsanalyse (Rahmenplan)'!$S$6</f>
        <v>0</v>
      </c>
      <c r="U47" s="274">
        <f t="shared" si="38"/>
        <v>22</v>
      </c>
      <c r="V47" s="274">
        <f t="shared" si="38"/>
        <v>10</v>
      </c>
      <c r="W47" s="274">
        <f t="shared" si="38"/>
        <v>30</v>
      </c>
      <c r="Y47" s="274">
        <f t="shared" si="36"/>
        <v>22</v>
      </c>
      <c r="Z47" s="274">
        <f t="shared" si="36"/>
        <v>5</v>
      </c>
      <c r="AA47" s="274">
        <f t="shared" si="36"/>
        <v>35</v>
      </c>
      <c r="AC47" s="274">
        <f t="shared" si="37"/>
        <v>22</v>
      </c>
      <c r="AD47" s="274">
        <f t="shared" si="37"/>
        <v>7.5</v>
      </c>
      <c r="AE47" s="274">
        <f t="shared" si="37"/>
        <v>50</v>
      </c>
      <c r="AG47" s="274">
        <f t="shared" si="17"/>
        <v>4</v>
      </c>
      <c r="AI47" s="279">
        <f t="shared" si="18"/>
        <v>25.753199999999996</v>
      </c>
      <c r="AJ47" s="279">
        <f t="shared" si="19"/>
        <v>0</v>
      </c>
      <c r="AK47" s="279">
        <f t="shared" si="20"/>
        <v>0</v>
      </c>
      <c r="AL47" s="279">
        <f t="shared" si="21"/>
        <v>11.706</v>
      </c>
      <c r="AM47" s="279">
        <f t="shared" si="22"/>
        <v>5</v>
      </c>
      <c r="AN47" s="279">
        <f t="shared" si="23"/>
        <v>0</v>
      </c>
      <c r="AO47" s="279">
        <f t="shared" si="24"/>
        <v>35.118000000000002</v>
      </c>
      <c r="AP47" s="279">
        <f t="shared" si="25"/>
        <v>0</v>
      </c>
      <c r="AQ47" s="279">
        <f t="shared" si="26"/>
        <v>0</v>
      </c>
      <c r="AR47" s="279">
        <f t="shared" si="27"/>
        <v>0</v>
      </c>
      <c r="AT47" s="279">
        <f t="shared" si="28"/>
        <v>25.753199999999996</v>
      </c>
      <c r="AU47" s="279">
        <f t="shared" si="29"/>
        <v>16.706</v>
      </c>
      <c r="AV47" s="279">
        <f t="shared" si="30"/>
        <v>35.118000000000002</v>
      </c>
      <c r="AX47" s="329">
        <f t="shared" si="31"/>
        <v>2.0923076134252203</v>
      </c>
      <c r="AY47" s="329">
        <f t="shared" si="31"/>
        <v>2.0923076134252203</v>
      </c>
      <c r="AZ47" s="332">
        <f t="shared" si="32"/>
        <v>3879.1383152903582</v>
      </c>
      <c r="BA47" s="331">
        <f t="shared" si="33"/>
        <v>31.803075724063348</v>
      </c>
      <c r="BC47" s="344">
        <f t="shared" si="34"/>
        <v>11706</v>
      </c>
      <c r="BD47" s="344">
        <f t="shared" si="35"/>
        <v>1951</v>
      </c>
    </row>
    <row r="48" spans="1:56" x14ac:dyDescent="0.25">
      <c r="A48" s="247">
        <v>187223</v>
      </c>
      <c r="B48" s="247" t="s">
        <v>140</v>
      </c>
      <c r="C48" s="247" t="s">
        <v>28</v>
      </c>
      <c r="D48" s="247" t="s">
        <v>150</v>
      </c>
      <c r="E48" s="248" t="s">
        <v>198</v>
      </c>
      <c r="F48" s="250">
        <v>390.2</v>
      </c>
      <c r="G48" s="247" t="s">
        <v>163</v>
      </c>
      <c r="H48" s="247">
        <v>3</v>
      </c>
      <c r="J48" s="250">
        <f t="shared" si="10"/>
        <v>1170.5999999999999</v>
      </c>
      <c r="K48" s="250">
        <f t="shared" si="11"/>
        <v>1170.5999999999999</v>
      </c>
      <c r="L48" s="250">
        <f t="shared" si="12"/>
        <v>0</v>
      </c>
      <c r="M48" s="250">
        <f t="shared" si="13"/>
        <v>0</v>
      </c>
      <c r="N48" s="250">
        <f t="shared" si="14"/>
        <v>0</v>
      </c>
      <c r="O48" s="263" t="str">
        <f t="shared" si="15"/>
        <v>Ok</v>
      </c>
      <c r="Q48" s="265">
        <f>K48*'Bedarfsanalyse (Rahmenplan)'!$Q$6</f>
        <v>21.919413093026119</v>
      </c>
      <c r="R48" s="265">
        <f>K48*'Bedarfsanalyse (Rahmenplan)'!$R$6</f>
        <v>9.9633695877391446</v>
      </c>
      <c r="S48" s="265">
        <f>(L48+M48)*'Bedarfsanalyse (Rahmenplan)'!$S$6</f>
        <v>0</v>
      </c>
      <c r="U48" s="274">
        <f t="shared" si="38"/>
        <v>22</v>
      </c>
      <c r="V48" s="274">
        <f t="shared" si="38"/>
        <v>10</v>
      </c>
      <c r="W48" s="274">
        <f t="shared" si="38"/>
        <v>30</v>
      </c>
      <c r="Y48" s="274">
        <f t="shared" si="36"/>
        <v>22</v>
      </c>
      <c r="Z48" s="274">
        <f t="shared" si="36"/>
        <v>5</v>
      </c>
      <c r="AA48" s="274">
        <f t="shared" si="36"/>
        <v>35</v>
      </c>
      <c r="AC48" s="274">
        <f t="shared" si="37"/>
        <v>22</v>
      </c>
      <c r="AD48" s="274">
        <f t="shared" si="37"/>
        <v>7.5</v>
      </c>
      <c r="AE48" s="274">
        <f t="shared" si="37"/>
        <v>50</v>
      </c>
      <c r="AG48" s="274">
        <f t="shared" si="17"/>
        <v>4</v>
      </c>
      <c r="AI48" s="279">
        <f t="shared" si="18"/>
        <v>25.753199999999996</v>
      </c>
      <c r="AJ48" s="279">
        <f t="shared" si="19"/>
        <v>0</v>
      </c>
      <c r="AK48" s="279">
        <f t="shared" si="20"/>
        <v>0</v>
      </c>
      <c r="AL48" s="279">
        <f t="shared" si="21"/>
        <v>11.706</v>
      </c>
      <c r="AM48" s="279">
        <f t="shared" si="22"/>
        <v>5</v>
      </c>
      <c r="AN48" s="279">
        <f t="shared" si="23"/>
        <v>0</v>
      </c>
      <c r="AO48" s="279">
        <f t="shared" si="24"/>
        <v>35.118000000000002</v>
      </c>
      <c r="AP48" s="279">
        <f t="shared" si="25"/>
        <v>0</v>
      </c>
      <c r="AQ48" s="279">
        <f t="shared" si="26"/>
        <v>0</v>
      </c>
      <c r="AR48" s="279">
        <f t="shared" si="27"/>
        <v>0</v>
      </c>
      <c r="AT48" s="279">
        <f t="shared" si="28"/>
        <v>25.753199999999996</v>
      </c>
      <c r="AU48" s="279">
        <f t="shared" si="29"/>
        <v>16.706</v>
      </c>
      <c r="AV48" s="279">
        <f t="shared" si="30"/>
        <v>35.118000000000002</v>
      </c>
      <c r="AX48" s="329">
        <f t="shared" si="31"/>
        <v>2.0923076134252203</v>
      </c>
      <c r="AY48" s="329">
        <f t="shared" si="31"/>
        <v>2.0923076134252203</v>
      </c>
      <c r="AZ48" s="332">
        <f t="shared" si="32"/>
        <v>3879.1383152903582</v>
      </c>
      <c r="BA48" s="331">
        <f t="shared" si="33"/>
        <v>31.803075724063348</v>
      </c>
      <c r="BC48" s="344">
        <f t="shared" si="34"/>
        <v>11706</v>
      </c>
      <c r="BD48" s="344">
        <f t="shared" si="35"/>
        <v>1951</v>
      </c>
    </row>
    <row r="49" spans="1:56" x14ac:dyDescent="0.25">
      <c r="A49" s="247">
        <v>187823</v>
      </c>
      <c r="B49" s="247" t="s">
        <v>140</v>
      </c>
      <c r="C49" s="247" t="s">
        <v>28</v>
      </c>
      <c r="D49" s="247" t="s">
        <v>150</v>
      </c>
      <c r="E49" s="248" t="s">
        <v>198</v>
      </c>
      <c r="F49" s="250">
        <v>390.2</v>
      </c>
      <c r="G49" s="247" t="s">
        <v>163</v>
      </c>
      <c r="H49" s="247">
        <v>3</v>
      </c>
      <c r="J49" s="250">
        <f t="shared" si="10"/>
        <v>1170.5999999999999</v>
      </c>
      <c r="K49" s="250">
        <f t="shared" si="11"/>
        <v>1170.5999999999999</v>
      </c>
      <c r="L49" s="250">
        <f t="shared" si="12"/>
        <v>0</v>
      </c>
      <c r="M49" s="250">
        <f t="shared" si="13"/>
        <v>0</v>
      </c>
      <c r="N49" s="250">
        <f t="shared" si="14"/>
        <v>0</v>
      </c>
      <c r="O49" s="263" t="str">
        <f t="shared" si="15"/>
        <v>Ok</v>
      </c>
      <c r="Q49" s="265">
        <f>K49*'Bedarfsanalyse (Rahmenplan)'!$Q$6</f>
        <v>21.919413093026119</v>
      </c>
      <c r="R49" s="265">
        <f>K49*'Bedarfsanalyse (Rahmenplan)'!$R$6</f>
        <v>9.9633695877391446</v>
      </c>
      <c r="S49" s="265">
        <f>(L49+M49)*'Bedarfsanalyse (Rahmenplan)'!$S$6</f>
        <v>0</v>
      </c>
      <c r="U49" s="274">
        <f t="shared" si="38"/>
        <v>22</v>
      </c>
      <c r="V49" s="274">
        <f t="shared" si="38"/>
        <v>10</v>
      </c>
      <c r="W49" s="274">
        <f t="shared" si="38"/>
        <v>30</v>
      </c>
      <c r="Y49" s="274">
        <f t="shared" si="36"/>
        <v>22</v>
      </c>
      <c r="Z49" s="274">
        <f t="shared" si="36"/>
        <v>5</v>
      </c>
      <c r="AA49" s="274">
        <f t="shared" si="36"/>
        <v>35</v>
      </c>
      <c r="AC49" s="274">
        <f t="shared" si="37"/>
        <v>22</v>
      </c>
      <c r="AD49" s="274">
        <f t="shared" si="37"/>
        <v>7.5</v>
      </c>
      <c r="AE49" s="274">
        <f t="shared" si="37"/>
        <v>50</v>
      </c>
      <c r="AG49" s="274">
        <f t="shared" si="17"/>
        <v>4</v>
      </c>
      <c r="AI49" s="279">
        <f t="shared" si="18"/>
        <v>25.753199999999996</v>
      </c>
      <c r="AJ49" s="279">
        <f t="shared" si="19"/>
        <v>0</v>
      </c>
      <c r="AK49" s="279">
        <f t="shared" si="20"/>
        <v>0</v>
      </c>
      <c r="AL49" s="279">
        <f t="shared" si="21"/>
        <v>11.706</v>
      </c>
      <c r="AM49" s="279">
        <f t="shared" si="22"/>
        <v>5</v>
      </c>
      <c r="AN49" s="279">
        <f t="shared" si="23"/>
        <v>0</v>
      </c>
      <c r="AO49" s="279">
        <f t="shared" si="24"/>
        <v>35.118000000000002</v>
      </c>
      <c r="AP49" s="279">
        <f t="shared" si="25"/>
        <v>0</v>
      </c>
      <c r="AQ49" s="279">
        <f t="shared" si="26"/>
        <v>0</v>
      </c>
      <c r="AR49" s="279">
        <f t="shared" si="27"/>
        <v>0</v>
      </c>
      <c r="AT49" s="279">
        <f t="shared" si="28"/>
        <v>25.753199999999996</v>
      </c>
      <c r="AU49" s="279">
        <f t="shared" si="29"/>
        <v>16.706</v>
      </c>
      <c r="AV49" s="279">
        <f t="shared" si="30"/>
        <v>35.118000000000002</v>
      </c>
      <c r="AX49" s="329">
        <f t="shared" si="31"/>
        <v>2.0923076134252203</v>
      </c>
      <c r="AY49" s="329">
        <f t="shared" si="31"/>
        <v>2.0923076134252203</v>
      </c>
      <c r="AZ49" s="332">
        <f t="shared" si="32"/>
        <v>3879.1383152903582</v>
      </c>
      <c r="BA49" s="331">
        <f t="shared" si="33"/>
        <v>31.803075724063348</v>
      </c>
      <c r="BC49" s="344">
        <f t="shared" si="34"/>
        <v>11706</v>
      </c>
      <c r="BD49" s="344">
        <f t="shared" si="35"/>
        <v>1951</v>
      </c>
    </row>
    <row r="50" spans="1:56" x14ac:dyDescent="0.25">
      <c r="A50" s="247">
        <v>187923</v>
      </c>
      <c r="B50" s="247" t="s">
        <v>140</v>
      </c>
      <c r="C50" s="247" t="s">
        <v>28</v>
      </c>
      <c r="D50" s="247" t="s">
        <v>150</v>
      </c>
      <c r="E50" s="248" t="s">
        <v>198</v>
      </c>
      <c r="F50" s="250">
        <v>113.8</v>
      </c>
      <c r="G50" s="247" t="s">
        <v>163</v>
      </c>
      <c r="H50" s="247">
        <v>1</v>
      </c>
      <c r="J50" s="250">
        <f t="shared" si="10"/>
        <v>113.8</v>
      </c>
      <c r="K50" s="250">
        <f t="shared" si="11"/>
        <v>113.8</v>
      </c>
      <c r="L50" s="250">
        <f t="shared" si="12"/>
        <v>0</v>
      </c>
      <c r="M50" s="250">
        <f t="shared" si="13"/>
        <v>0</v>
      </c>
      <c r="N50" s="250">
        <f t="shared" si="14"/>
        <v>0</v>
      </c>
      <c r="O50" s="263" t="str">
        <f t="shared" si="15"/>
        <v>Ok</v>
      </c>
      <c r="Q50" s="265">
        <f>K50*'Bedarfsanalyse (Rahmenplan)'!$Q$6</f>
        <v>2.1308980095561014</v>
      </c>
      <c r="R50" s="265">
        <f>K50*'Bedarfsanalyse (Rahmenplan)'!$R$6</f>
        <v>0.96859000434368259</v>
      </c>
      <c r="S50" s="265">
        <f>(L50+M50)*'Bedarfsanalyse (Rahmenplan)'!$S$6</f>
        <v>0</v>
      </c>
      <c r="U50" s="274">
        <f t="shared" si="38"/>
        <v>22</v>
      </c>
      <c r="V50" s="274">
        <f t="shared" si="38"/>
        <v>10</v>
      </c>
      <c r="W50" s="274">
        <f t="shared" si="38"/>
        <v>30</v>
      </c>
      <c r="Y50" s="274">
        <f t="shared" si="36"/>
        <v>22</v>
      </c>
      <c r="Z50" s="274">
        <f t="shared" si="36"/>
        <v>5</v>
      </c>
      <c r="AA50" s="274">
        <f t="shared" si="36"/>
        <v>35</v>
      </c>
      <c r="AC50" s="274">
        <f t="shared" si="37"/>
        <v>22</v>
      </c>
      <c r="AD50" s="274">
        <f t="shared" si="37"/>
        <v>7.5</v>
      </c>
      <c r="AE50" s="274">
        <f t="shared" si="37"/>
        <v>50</v>
      </c>
      <c r="AG50" s="274">
        <f t="shared" si="17"/>
        <v>4</v>
      </c>
      <c r="AI50" s="279">
        <f t="shared" si="18"/>
        <v>2.5036</v>
      </c>
      <c r="AJ50" s="279">
        <f t="shared" si="19"/>
        <v>0</v>
      </c>
      <c r="AK50" s="279">
        <f t="shared" si="20"/>
        <v>0</v>
      </c>
      <c r="AL50" s="279">
        <f t="shared" si="21"/>
        <v>1.1379999999999999</v>
      </c>
      <c r="AM50" s="279">
        <f t="shared" si="22"/>
        <v>5</v>
      </c>
      <c r="AN50" s="279">
        <f t="shared" si="23"/>
        <v>0</v>
      </c>
      <c r="AO50" s="279">
        <f t="shared" si="24"/>
        <v>3.4140000000000001</v>
      </c>
      <c r="AP50" s="279">
        <f t="shared" si="25"/>
        <v>0</v>
      </c>
      <c r="AQ50" s="279">
        <f t="shared" si="26"/>
        <v>0</v>
      </c>
      <c r="AR50" s="279">
        <f t="shared" si="27"/>
        <v>0</v>
      </c>
      <c r="AT50" s="279">
        <f t="shared" si="28"/>
        <v>2.5036</v>
      </c>
      <c r="AU50" s="279">
        <f t="shared" si="29"/>
        <v>6.1379999999999999</v>
      </c>
      <c r="AV50" s="279">
        <f t="shared" si="30"/>
        <v>3.4140000000000001</v>
      </c>
      <c r="AX50" s="329">
        <f t="shared" si="31"/>
        <v>0.20340390091217334</v>
      </c>
      <c r="AY50" s="329">
        <f t="shared" si="31"/>
        <v>0.20340390091217334</v>
      </c>
      <c r="AZ50" s="332">
        <f t="shared" si="32"/>
        <v>377.11083229116929</v>
      </c>
      <c r="BA50" s="331">
        <f t="shared" si="33"/>
        <v>3.0917392938650345</v>
      </c>
      <c r="BC50" s="344">
        <f t="shared" si="34"/>
        <v>1138</v>
      </c>
      <c r="BD50" s="344">
        <f t="shared" si="35"/>
        <v>189.66666666666666</v>
      </c>
    </row>
    <row r="51" spans="1:56" x14ac:dyDescent="0.25">
      <c r="A51" s="247">
        <v>187723</v>
      </c>
      <c r="B51" s="247" t="s">
        <v>140</v>
      </c>
      <c r="C51" s="247" t="s">
        <v>28</v>
      </c>
      <c r="D51" s="247" t="s">
        <v>150</v>
      </c>
      <c r="E51" s="248" t="s">
        <v>198</v>
      </c>
      <c r="F51" s="250">
        <v>390.3</v>
      </c>
      <c r="G51" s="247" t="s">
        <v>163</v>
      </c>
      <c r="H51" s="247">
        <v>3</v>
      </c>
      <c r="J51" s="250">
        <f t="shared" si="10"/>
        <v>1170.9000000000001</v>
      </c>
      <c r="K51" s="250">
        <f t="shared" si="11"/>
        <v>1170.9000000000001</v>
      </c>
      <c r="L51" s="250">
        <f t="shared" si="12"/>
        <v>0</v>
      </c>
      <c r="M51" s="250">
        <f t="shared" si="13"/>
        <v>0</v>
      </c>
      <c r="N51" s="250">
        <f t="shared" si="14"/>
        <v>0</v>
      </c>
      <c r="O51" s="263" t="str">
        <f t="shared" si="15"/>
        <v>Ok</v>
      </c>
      <c r="Q51" s="265">
        <f>K51*'Bedarfsanalyse (Rahmenplan)'!$Q$6</f>
        <v>21.925030574597887</v>
      </c>
      <c r="R51" s="265">
        <f>K51*'Bedarfsanalyse (Rahmenplan)'!$R$6</f>
        <v>9.9659229884535847</v>
      </c>
      <c r="S51" s="265">
        <f>(L51+M51)*'Bedarfsanalyse (Rahmenplan)'!$S$6</f>
        <v>0</v>
      </c>
      <c r="U51" s="274">
        <f t="shared" si="38"/>
        <v>22</v>
      </c>
      <c r="V51" s="274">
        <f t="shared" si="38"/>
        <v>10</v>
      </c>
      <c r="W51" s="274">
        <f t="shared" si="38"/>
        <v>30</v>
      </c>
      <c r="Y51" s="274">
        <f t="shared" si="36"/>
        <v>22</v>
      </c>
      <c r="Z51" s="274">
        <f t="shared" si="36"/>
        <v>5</v>
      </c>
      <c r="AA51" s="274">
        <f t="shared" si="36"/>
        <v>35</v>
      </c>
      <c r="AC51" s="274">
        <f t="shared" si="37"/>
        <v>22</v>
      </c>
      <c r="AD51" s="274">
        <f t="shared" si="37"/>
        <v>7.5</v>
      </c>
      <c r="AE51" s="274">
        <f t="shared" si="37"/>
        <v>50</v>
      </c>
      <c r="AG51" s="274">
        <f t="shared" si="17"/>
        <v>4</v>
      </c>
      <c r="AI51" s="279">
        <f t="shared" si="18"/>
        <v>25.759800000000002</v>
      </c>
      <c r="AJ51" s="279">
        <f t="shared" si="19"/>
        <v>0</v>
      </c>
      <c r="AK51" s="279">
        <f t="shared" si="20"/>
        <v>0</v>
      </c>
      <c r="AL51" s="279">
        <f t="shared" si="21"/>
        <v>11.709</v>
      </c>
      <c r="AM51" s="279">
        <f t="shared" si="22"/>
        <v>5</v>
      </c>
      <c r="AN51" s="279">
        <f t="shared" si="23"/>
        <v>0</v>
      </c>
      <c r="AO51" s="279">
        <f t="shared" si="24"/>
        <v>35.127000000000002</v>
      </c>
      <c r="AP51" s="279">
        <f t="shared" si="25"/>
        <v>0</v>
      </c>
      <c r="AQ51" s="279">
        <f t="shared" si="26"/>
        <v>0</v>
      </c>
      <c r="AR51" s="279">
        <f t="shared" si="27"/>
        <v>0</v>
      </c>
      <c r="AT51" s="279">
        <f t="shared" si="28"/>
        <v>25.759800000000002</v>
      </c>
      <c r="AU51" s="279">
        <f t="shared" si="29"/>
        <v>16.709</v>
      </c>
      <c r="AV51" s="279">
        <f t="shared" si="30"/>
        <v>35.127000000000002</v>
      </c>
      <c r="AX51" s="329">
        <f t="shared" si="31"/>
        <v>2.0928438275752526</v>
      </c>
      <c r="AY51" s="329">
        <f t="shared" si="31"/>
        <v>2.0928438275752526</v>
      </c>
      <c r="AZ51" s="332">
        <f t="shared" si="32"/>
        <v>3880.132456324518</v>
      </c>
      <c r="BA51" s="331">
        <f t="shared" si="33"/>
        <v>31.811226179143841</v>
      </c>
      <c r="BC51" s="344">
        <f t="shared" si="34"/>
        <v>11709</v>
      </c>
      <c r="BD51" s="344">
        <f t="shared" si="35"/>
        <v>1951.5</v>
      </c>
    </row>
    <row r="52" spans="1:56" x14ac:dyDescent="0.25">
      <c r="A52" s="247">
        <v>124224</v>
      </c>
      <c r="B52" s="247" t="s">
        <v>140</v>
      </c>
      <c r="C52" s="247" t="s">
        <v>131</v>
      </c>
      <c r="D52" s="247">
        <v>2</v>
      </c>
      <c r="E52" s="248" t="s">
        <v>199</v>
      </c>
      <c r="F52" s="250">
        <v>420.2</v>
      </c>
      <c r="G52" s="247" t="s">
        <v>164</v>
      </c>
      <c r="H52" s="247">
        <v>1</v>
      </c>
      <c r="J52" s="250">
        <f t="shared" si="10"/>
        <v>420.2</v>
      </c>
      <c r="K52" s="250">
        <f t="shared" si="11"/>
        <v>0</v>
      </c>
      <c r="L52" s="250">
        <f t="shared" si="12"/>
        <v>420.2</v>
      </c>
      <c r="M52" s="250">
        <f t="shared" si="13"/>
        <v>0</v>
      </c>
      <c r="N52" s="250">
        <f t="shared" si="14"/>
        <v>0</v>
      </c>
      <c r="O52" s="263" t="str">
        <f t="shared" si="15"/>
        <v>Ok</v>
      </c>
      <c r="Q52" s="265">
        <f>K52*'Bedarfsanalyse (Rahmenplan)'!$Q$6</f>
        <v>0</v>
      </c>
      <c r="R52" s="265">
        <f>K52*'Bedarfsanalyse (Rahmenplan)'!$R$6</f>
        <v>0</v>
      </c>
      <c r="S52" s="265">
        <f>(L52+M52)*'Bedarfsanalyse (Rahmenplan)'!$S$6</f>
        <v>8.0853325833110006</v>
      </c>
      <c r="U52" s="274">
        <f t="shared" si="38"/>
        <v>22</v>
      </c>
      <c r="V52" s="274">
        <f t="shared" si="38"/>
        <v>10</v>
      </c>
      <c r="W52" s="274">
        <f t="shared" si="38"/>
        <v>30</v>
      </c>
      <c r="Y52" s="274">
        <f t="shared" si="36"/>
        <v>22</v>
      </c>
      <c r="Z52" s="274">
        <f t="shared" si="36"/>
        <v>5</v>
      </c>
      <c r="AA52" s="274">
        <f t="shared" si="36"/>
        <v>35</v>
      </c>
      <c r="AC52" s="274">
        <f t="shared" si="37"/>
        <v>22</v>
      </c>
      <c r="AD52" s="274">
        <f t="shared" si="37"/>
        <v>7.5</v>
      </c>
      <c r="AE52" s="274">
        <f t="shared" si="37"/>
        <v>50</v>
      </c>
      <c r="AG52" s="274">
        <f t="shared" si="17"/>
        <v>4</v>
      </c>
      <c r="AI52" s="279">
        <f t="shared" si="18"/>
        <v>0</v>
      </c>
      <c r="AJ52" s="279">
        <f t="shared" si="19"/>
        <v>9.2443999999999988</v>
      </c>
      <c r="AK52" s="279">
        <f t="shared" si="20"/>
        <v>0</v>
      </c>
      <c r="AL52" s="279">
        <f t="shared" si="21"/>
        <v>0</v>
      </c>
      <c r="AM52" s="279">
        <f t="shared" si="22"/>
        <v>5.4202000000000004</v>
      </c>
      <c r="AN52" s="279">
        <f t="shared" si="23"/>
        <v>0</v>
      </c>
      <c r="AO52" s="279">
        <f t="shared" si="24"/>
        <v>0</v>
      </c>
      <c r="AP52" s="279">
        <f t="shared" si="25"/>
        <v>14.707000000000001</v>
      </c>
      <c r="AQ52" s="279">
        <f t="shared" si="26"/>
        <v>0</v>
      </c>
      <c r="AR52" s="279">
        <f t="shared" si="27"/>
        <v>0</v>
      </c>
      <c r="AT52" s="279">
        <f t="shared" si="28"/>
        <v>9.2443999999999988</v>
      </c>
      <c r="AU52" s="279">
        <f t="shared" si="29"/>
        <v>5.4202000000000004</v>
      </c>
      <c r="AV52" s="279">
        <f t="shared" si="30"/>
        <v>14.707000000000001</v>
      </c>
      <c r="AX52" s="329">
        <f t="shared" si="31"/>
        <v>2.3344444444444443</v>
      </c>
      <c r="AY52" s="329">
        <f t="shared" si="31"/>
        <v>2.3344444444444443</v>
      </c>
      <c r="AZ52" s="332">
        <f t="shared" si="32"/>
        <v>4328.0599999999995</v>
      </c>
      <c r="BA52" s="331">
        <f t="shared" si="33"/>
        <v>35.483555555555554</v>
      </c>
      <c r="BC52" s="344">
        <f t="shared" si="34"/>
        <v>4202</v>
      </c>
      <c r="BD52" s="344">
        <f t="shared" si="35"/>
        <v>700.33333333333337</v>
      </c>
    </row>
    <row r="53" spans="1:56" x14ac:dyDescent="0.25">
      <c r="A53" s="247">
        <v>124124</v>
      </c>
      <c r="B53" s="247" t="s">
        <v>140</v>
      </c>
      <c r="C53" s="247" t="s">
        <v>131</v>
      </c>
      <c r="D53" s="247">
        <v>2</v>
      </c>
      <c r="E53" s="248" t="s">
        <v>199</v>
      </c>
      <c r="F53" s="250">
        <v>770.5</v>
      </c>
      <c r="G53" s="247" t="s">
        <v>165</v>
      </c>
      <c r="H53" s="247">
        <v>5</v>
      </c>
      <c r="J53" s="250">
        <f t="shared" si="10"/>
        <v>3852.5</v>
      </c>
      <c r="K53" s="250">
        <f t="shared" si="11"/>
        <v>0</v>
      </c>
      <c r="L53" s="250">
        <f t="shared" si="12"/>
        <v>3852.5</v>
      </c>
      <c r="M53" s="250">
        <f t="shared" si="13"/>
        <v>0</v>
      </c>
      <c r="N53" s="250">
        <f t="shared" si="14"/>
        <v>0</v>
      </c>
      <c r="O53" s="263" t="str">
        <f t="shared" si="15"/>
        <v>Ok</v>
      </c>
      <c r="Q53" s="265">
        <f>K53*'Bedarfsanalyse (Rahmenplan)'!$Q$6</f>
        <v>0</v>
      </c>
      <c r="R53" s="265">
        <f>K53*'Bedarfsanalyse (Rahmenplan)'!$R$6</f>
        <v>0</v>
      </c>
      <c r="S53" s="265">
        <f>(L53+M53)*'Bedarfsanalyse (Rahmenplan)'!$S$6</f>
        <v>74.128376433140488</v>
      </c>
      <c r="U53" s="274">
        <f t="shared" si="38"/>
        <v>22</v>
      </c>
      <c r="V53" s="274">
        <f t="shared" si="38"/>
        <v>10</v>
      </c>
      <c r="W53" s="274">
        <f t="shared" si="38"/>
        <v>30</v>
      </c>
      <c r="Y53" s="274">
        <f t="shared" si="36"/>
        <v>22</v>
      </c>
      <c r="Z53" s="274">
        <f t="shared" si="36"/>
        <v>5</v>
      </c>
      <c r="AA53" s="274">
        <f t="shared" si="36"/>
        <v>35</v>
      </c>
      <c r="AC53" s="274">
        <f t="shared" si="37"/>
        <v>22</v>
      </c>
      <c r="AD53" s="274">
        <f t="shared" si="37"/>
        <v>7.5</v>
      </c>
      <c r="AE53" s="274">
        <f t="shared" si="37"/>
        <v>50</v>
      </c>
      <c r="AG53" s="274">
        <f t="shared" si="17"/>
        <v>4</v>
      </c>
      <c r="AI53" s="279">
        <f t="shared" si="18"/>
        <v>0</v>
      </c>
      <c r="AJ53" s="279">
        <f t="shared" si="19"/>
        <v>84.754999999999995</v>
      </c>
      <c r="AK53" s="279">
        <f t="shared" si="20"/>
        <v>0</v>
      </c>
      <c r="AL53" s="279">
        <f t="shared" si="21"/>
        <v>0</v>
      </c>
      <c r="AM53" s="279">
        <f t="shared" si="22"/>
        <v>8.8524999999999991</v>
      </c>
      <c r="AN53" s="279">
        <f t="shared" si="23"/>
        <v>0</v>
      </c>
      <c r="AO53" s="279">
        <f t="shared" si="24"/>
        <v>0</v>
      </c>
      <c r="AP53" s="279">
        <f t="shared" si="25"/>
        <v>134.83750000000001</v>
      </c>
      <c r="AQ53" s="279">
        <f t="shared" si="26"/>
        <v>0</v>
      </c>
      <c r="AR53" s="279">
        <f t="shared" si="27"/>
        <v>0</v>
      </c>
      <c r="AT53" s="279">
        <f t="shared" si="28"/>
        <v>84.754999999999995</v>
      </c>
      <c r="AU53" s="279">
        <f t="shared" si="29"/>
        <v>8.8524999999999991</v>
      </c>
      <c r="AV53" s="279">
        <f t="shared" si="30"/>
        <v>134.83750000000001</v>
      </c>
      <c r="AX53" s="329">
        <f t="shared" si="31"/>
        <v>21.402777777777779</v>
      </c>
      <c r="AY53" s="329">
        <f t="shared" si="31"/>
        <v>21.402777777777779</v>
      </c>
      <c r="AZ53" s="332">
        <f t="shared" si="32"/>
        <v>39680.75</v>
      </c>
      <c r="BA53" s="331">
        <f t="shared" si="33"/>
        <v>325.32222222222219</v>
      </c>
      <c r="BC53" s="344">
        <f t="shared" si="34"/>
        <v>38525</v>
      </c>
      <c r="BD53" s="344">
        <f t="shared" si="35"/>
        <v>6420.833333333333</v>
      </c>
    </row>
    <row r="54" spans="1:56" x14ac:dyDescent="0.25">
      <c r="A54" s="288">
        <v>123014</v>
      </c>
      <c r="B54" s="288" t="s">
        <v>69</v>
      </c>
      <c r="C54" s="288" t="s">
        <v>131</v>
      </c>
      <c r="D54" s="288">
        <v>2</v>
      </c>
      <c r="E54" s="289" t="s">
        <v>200</v>
      </c>
      <c r="F54" s="290">
        <v>1546.2</v>
      </c>
      <c r="G54" s="288" t="s">
        <v>166</v>
      </c>
      <c r="H54" s="288">
        <v>1</v>
      </c>
      <c r="I54" s="288"/>
      <c r="J54" s="290">
        <f t="shared" si="10"/>
        <v>1546.2</v>
      </c>
      <c r="K54" s="290">
        <f t="shared" si="11"/>
        <v>0</v>
      </c>
      <c r="L54" s="290">
        <f t="shared" si="12"/>
        <v>1546.2</v>
      </c>
      <c r="M54" s="290">
        <f t="shared" si="13"/>
        <v>0</v>
      </c>
      <c r="N54" s="290">
        <f t="shared" si="14"/>
        <v>0</v>
      </c>
      <c r="O54" s="291" t="str">
        <f t="shared" si="15"/>
        <v>Ok</v>
      </c>
      <c r="P54" s="288"/>
      <c r="Q54" s="292">
        <f>K54*'Bedarfsanalyse (Rahmenplan)'!$Q$6</f>
        <v>0</v>
      </c>
      <c r="R54" s="292">
        <f>K54*'Bedarfsanalyse (Rahmenplan)'!$R$6</f>
        <v>0</v>
      </c>
      <c r="S54" s="292">
        <f>(L54+M54)*'Bedarfsanalyse (Rahmenplan)'!$S$6</f>
        <v>29.751407045015398</v>
      </c>
      <c r="T54" s="288"/>
      <c r="U54" s="293">
        <f t="shared" si="38"/>
        <v>22</v>
      </c>
      <c r="V54" s="293">
        <f t="shared" si="38"/>
        <v>10</v>
      </c>
      <c r="W54" s="293">
        <f t="shared" si="38"/>
        <v>30</v>
      </c>
      <c r="X54" s="288"/>
      <c r="Y54" s="293">
        <f t="shared" si="36"/>
        <v>22</v>
      </c>
      <c r="Z54" s="293">
        <f t="shared" si="36"/>
        <v>5</v>
      </c>
      <c r="AA54" s="293">
        <f t="shared" si="36"/>
        <v>35</v>
      </c>
      <c r="AB54" s="288"/>
      <c r="AC54" s="293">
        <f t="shared" si="37"/>
        <v>22</v>
      </c>
      <c r="AD54" s="293">
        <f t="shared" si="37"/>
        <v>7.5</v>
      </c>
      <c r="AE54" s="293">
        <f t="shared" si="37"/>
        <v>50</v>
      </c>
      <c r="AF54" s="288"/>
      <c r="AG54" s="293">
        <f t="shared" si="17"/>
        <v>4</v>
      </c>
      <c r="AH54" s="294"/>
      <c r="AI54" s="295">
        <f t="shared" si="18"/>
        <v>0</v>
      </c>
      <c r="AJ54" s="295">
        <f t="shared" si="19"/>
        <v>34.016400000000004</v>
      </c>
      <c r="AK54" s="295">
        <f t="shared" si="20"/>
        <v>0</v>
      </c>
      <c r="AL54" s="295">
        <f t="shared" si="21"/>
        <v>0</v>
      </c>
      <c r="AM54" s="295">
        <f t="shared" si="22"/>
        <v>6.5461999999999998</v>
      </c>
      <c r="AN54" s="295">
        <f t="shared" si="23"/>
        <v>0</v>
      </c>
      <c r="AO54" s="295">
        <f t="shared" si="24"/>
        <v>0</v>
      </c>
      <c r="AP54" s="295">
        <f t="shared" si="25"/>
        <v>54.116999999999997</v>
      </c>
      <c r="AQ54" s="295">
        <f t="shared" si="26"/>
        <v>0</v>
      </c>
      <c r="AR54" s="295">
        <f t="shared" si="27"/>
        <v>0</v>
      </c>
      <c r="AS54" s="294"/>
      <c r="AT54" s="295">
        <f t="shared" si="28"/>
        <v>34.016400000000004</v>
      </c>
      <c r="AU54" s="295">
        <f t="shared" si="29"/>
        <v>6.5461999999999998</v>
      </c>
      <c r="AV54" s="295">
        <f t="shared" si="30"/>
        <v>54.116999999999997</v>
      </c>
      <c r="AW54" s="294"/>
      <c r="AX54" s="338">
        <f t="shared" si="31"/>
        <v>8.59</v>
      </c>
      <c r="AY54" s="338">
        <f t="shared" si="31"/>
        <v>8.59</v>
      </c>
      <c r="AZ54" s="339">
        <f t="shared" si="32"/>
        <v>15925.859999999999</v>
      </c>
      <c r="BA54" s="340">
        <f t="shared" si="33"/>
        <v>130.56799999999998</v>
      </c>
      <c r="BB54" s="294"/>
      <c r="BC54" s="346">
        <f t="shared" si="34"/>
        <v>15462</v>
      </c>
      <c r="BD54" s="346">
        <f t="shared" si="35"/>
        <v>2577</v>
      </c>
    </row>
    <row r="55" spans="1:56" x14ac:dyDescent="0.25">
      <c r="A55" s="247">
        <v>121024</v>
      </c>
      <c r="B55" s="247" t="s">
        <v>140</v>
      </c>
      <c r="C55" s="247" t="s">
        <v>131</v>
      </c>
      <c r="D55" s="247">
        <v>2</v>
      </c>
      <c r="E55" s="248" t="s">
        <v>201</v>
      </c>
      <c r="F55" s="250">
        <v>697.7</v>
      </c>
      <c r="G55" s="247" t="s">
        <v>167</v>
      </c>
      <c r="H55" s="247">
        <v>12</v>
      </c>
      <c r="J55" s="250">
        <f t="shared" si="10"/>
        <v>8372.4000000000015</v>
      </c>
      <c r="K55" s="250">
        <f t="shared" si="11"/>
        <v>0</v>
      </c>
      <c r="L55" s="250">
        <f t="shared" si="12"/>
        <v>8372.4000000000015</v>
      </c>
      <c r="M55" s="250">
        <f t="shared" si="13"/>
        <v>0</v>
      </c>
      <c r="N55" s="250">
        <f t="shared" si="14"/>
        <v>0</v>
      </c>
      <c r="O55" s="263" t="str">
        <f t="shared" si="15"/>
        <v>Ok</v>
      </c>
      <c r="Q55" s="265">
        <f>K55*'Bedarfsanalyse (Rahmenplan)'!$Q$6</f>
        <v>0</v>
      </c>
      <c r="R55" s="265">
        <f>K55*'Bedarfsanalyse (Rahmenplan)'!$R$6</f>
        <v>0</v>
      </c>
      <c r="S55" s="265">
        <f>(L55+M55)*'Bedarfsanalyse (Rahmenplan)'!$S$6</f>
        <v>161.09861618399106</v>
      </c>
      <c r="U55" s="274">
        <f t="shared" si="38"/>
        <v>22</v>
      </c>
      <c r="V55" s="274">
        <f t="shared" si="38"/>
        <v>10</v>
      </c>
      <c r="W55" s="274">
        <f t="shared" si="38"/>
        <v>30</v>
      </c>
      <c r="Y55" s="274">
        <f t="shared" si="36"/>
        <v>22</v>
      </c>
      <c r="Z55" s="274">
        <f t="shared" si="36"/>
        <v>5</v>
      </c>
      <c r="AA55" s="274">
        <f t="shared" si="36"/>
        <v>35</v>
      </c>
      <c r="AC55" s="274">
        <f t="shared" si="37"/>
        <v>22</v>
      </c>
      <c r="AD55" s="274">
        <f t="shared" si="37"/>
        <v>7.5</v>
      </c>
      <c r="AE55" s="274">
        <f t="shared" si="37"/>
        <v>50</v>
      </c>
      <c r="AG55" s="274">
        <f t="shared" si="17"/>
        <v>4</v>
      </c>
      <c r="AI55" s="279">
        <f t="shared" si="18"/>
        <v>0</v>
      </c>
      <c r="AJ55" s="279">
        <f t="shared" si="19"/>
        <v>184.19280000000003</v>
      </c>
      <c r="AK55" s="279">
        <f t="shared" si="20"/>
        <v>0</v>
      </c>
      <c r="AL55" s="279">
        <f t="shared" si="21"/>
        <v>0</v>
      </c>
      <c r="AM55" s="279">
        <f t="shared" si="22"/>
        <v>13.372400000000001</v>
      </c>
      <c r="AN55" s="279">
        <f t="shared" si="23"/>
        <v>0</v>
      </c>
      <c r="AO55" s="279">
        <f t="shared" si="24"/>
        <v>0</v>
      </c>
      <c r="AP55" s="279">
        <f t="shared" si="25"/>
        <v>293.03400000000005</v>
      </c>
      <c r="AQ55" s="279">
        <f t="shared" si="26"/>
        <v>0</v>
      </c>
      <c r="AR55" s="279">
        <f t="shared" si="27"/>
        <v>0</v>
      </c>
      <c r="AT55" s="279">
        <f t="shared" si="28"/>
        <v>184.19280000000003</v>
      </c>
      <c r="AU55" s="279">
        <f t="shared" si="29"/>
        <v>13.372400000000001</v>
      </c>
      <c r="AV55" s="279">
        <f t="shared" si="30"/>
        <v>293.03400000000005</v>
      </c>
      <c r="AX55" s="329">
        <f t="shared" si="31"/>
        <v>46.513333333333343</v>
      </c>
      <c r="AY55" s="329">
        <f t="shared" si="31"/>
        <v>46.513333333333343</v>
      </c>
      <c r="AZ55" s="332">
        <f t="shared" si="32"/>
        <v>86235.720000000016</v>
      </c>
      <c r="BA55" s="331">
        <f t="shared" si="33"/>
        <v>707.00266666666676</v>
      </c>
      <c r="BC55" s="344">
        <f t="shared" si="34"/>
        <v>83724.000000000015</v>
      </c>
      <c r="BD55" s="344">
        <f t="shared" si="35"/>
        <v>13954.000000000002</v>
      </c>
    </row>
    <row r="56" spans="1:56" x14ac:dyDescent="0.25">
      <c r="A56" s="247">
        <v>122024</v>
      </c>
      <c r="B56" s="247" t="s">
        <v>140</v>
      </c>
      <c r="C56" s="247" t="s">
        <v>131</v>
      </c>
      <c r="D56" s="247">
        <v>2</v>
      </c>
      <c r="E56" s="248" t="s">
        <v>202</v>
      </c>
      <c r="F56" s="250">
        <v>2070.6999999999998</v>
      </c>
      <c r="G56" s="247" t="s">
        <v>167</v>
      </c>
      <c r="H56" s="247">
        <v>4</v>
      </c>
      <c r="J56" s="250">
        <f t="shared" si="10"/>
        <v>8282.7999999999993</v>
      </c>
      <c r="K56" s="250">
        <f t="shared" si="11"/>
        <v>0</v>
      </c>
      <c r="L56" s="250">
        <f t="shared" si="12"/>
        <v>8282.7999999999993</v>
      </c>
      <c r="M56" s="250">
        <f t="shared" si="13"/>
        <v>0</v>
      </c>
      <c r="N56" s="250">
        <f t="shared" si="14"/>
        <v>0</v>
      </c>
      <c r="O56" s="263" t="str">
        <f t="shared" si="15"/>
        <v>Ok</v>
      </c>
      <c r="Q56" s="265">
        <f>K56*'Bedarfsanalyse (Rahmenplan)'!$Q$6</f>
        <v>0</v>
      </c>
      <c r="R56" s="265">
        <f>K56*'Bedarfsanalyse (Rahmenplan)'!$R$6</f>
        <v>0</v>
      </c>
      <c r="S56" s="265">
        <f>(L56+M56)*'Bedarfsanalyse (Rahmenplan)'!$S$6</f>
        <v>159.3745662090632</v>
      </c>
      <c r="U56" s="274">
        <f t="shared" si="38"/>
        <v>22</v>
      </c>
      <c r="V56" s="274">
        <f t="shared" si="38"/>
        <v>10</v>
      </c>
      <c r="W56" s="274">
        <f t="shared" si="38"/>
        <v>30</v>
      </c>
      <c r="Y56" s="274">
        <f t="shared" si="36"/>
        <v>22</v>
      </c>
      <c r="Z56" s="274">
        <f t="shared" si="36"/>
        <v>5</v>
      </c>
      <c r="AA56" s="274">
        <f t="shared" si="36"/>
        <v>35</v>
      </c>
      <c r="AC56" s="274">
        <f t="shared" si="37"/>
        <v>22</v>
      </c>
      <c r="AD56" s="274">
        <f t="shared" si="37"/>
        <v>7.5</v>
      </c>
      <c r="AE56" s="274">
        <f t="shared" si="37"/>
        <v>50</v>
      </c>
      <c r="AG56" s="274">
        <f t="shared" si="17"/>
        <v>4</v>
      </c>
      <c r="AI56" s="279">
        <f t="shared" si="18"/>
        <v>0</v>
      </c>
      <c r="AJ56" s="279">
        <f t="shared" si="19"/>
        <v>182.22159999999997</v>
      </c>
      <c r="AK56" s="279">
        <f t="shared" si="20"/>
        <v>0</v>
      </c>
      <c r="AL56" s="279">
        <f t="shared" si="21"/>
        <v>0</v>
      </c>
      <c r="AM56" s="279">
        <f t="shared" si="22"/>
        <v>13.2828</v>
      </c>
      <c r="AN56" s="279">
        <f t="shared" si="23"/>
        <v>0</v>
      </c>
      <c r="AO56" s="279">
        <f t="shared" si="24"/>
        <v>0</v>
      </c>
      <c r="AP56" s="279">
        <f t="shared" si="25"/>
        <v>289.89800000000002</v>
      </c>
      <c r="AQ56" s="279">
        <f t="shared" si="26"/>
        <v>0</v>
      </c>
      <c r="AR56" s="279">
        <f t="shared" si="27"/>
        <v>0</v>
      </c>
      <c r="AT56" s="279">
        <f t="shared" si="28"/>
        <v>182.22159999999997</v>
      </c>
      <c r="AU56" s="279">
        <f t="shared" si="29"/>
        <v>13.2828</v>
      </c>
      <c r="AV56" s="279">
        <f t="shared" si="30"/>
        <v>289.89800000000002</v>
      </c>
      <c r="AX56" s="329">
        <f t="shared" si="31"/>
        <v>46.015555555555551</v>
      </c>
      <c r="AY56" s="329">
        <f t="shared" si="31"/>
        <v>46.015555555555551</v>
      </c>
      <c r="AZ56" s="332">
        <f t="shared" si="32"/>
        <v>85312.84</v>
      </c>
      <c r="BA56" s="331">
        <f t="shared" si="33"/>
        <v>699.43644444444431</v>
      </c>
      <c r="BC56" s="344">
        <f t="shared" si="34"/>
        <v>82828</v>
      </c>
      <c r="BD56" s="344">
        <f t="shared" si="35"/>
        <v>13804.666666666666</v>
      </c>
    </row>
    <row r="57" spans="1:56" x14ac:dyDescent="0.25">
      <c r="A57" s="247">
        <v>171224</v>
      </c>
      <c r="B57" s="247" t="s">
        <v>140</v>
      </c>
      <c r="C57" s="247" t="s">
        <v>131</v>
      </c>
      <c r="D57" s="247">
        <v>5</v>
      </c>
      <c r="E57" s="248" t="s">
        <v>172</v>
      </c>
      <c r="F57" s="250">
        <v>606.20000000000005</v>
      </c>
      <c r="G57" s="247" t="s">
        <v>142</v>
      </c>
      <c r="H57" s="247">
        <v>2</v>
      </c>
      <c r="J57" s="250">
        <f t="shared" si="10"/>
        <v>1212.4000000000001</v>
      </c>
      <c r="K57" s="250">
        <f t="shared" si="11"/>
        <v>0</v>
      </c>
      <c r="L57" s="250">
        <f t="shared" si="12"/>
        <v>1212.4000000000001</v>
      </c>
      <c r="M57" s="250">
        <f t="shared" si="13"/>
        <v>0</v>
      </c>
      <c r="N57" s="250">
        <f t="shared" si="14"/>
        <v>0</v>
      </c>
      <c r="O57" s="263" t="str">
        <f t="shared" si="15"/>
        <v>Ok</v>
      </c>
      <c r="Q57" s="265">
        <f>K57*'Bedarfsanalyse (Rahmenplan)'!$Q$6</f>
        <v>0</v>
      </c>
      <c r="R57" s="265">
        <f>K57*'Bedarfsanalyse (Rahmenplan)'!$R$6</f>
        <v>0</v>
      </c>
      <c r="S57" s="265">
        <f>(L57+M57)*'Bedarfsanalyse (Rahmenplan)'!$S$6</f>
        <v>23.328551223241931</v>
      </c>
      <c r="U57" s="274">
        <f t="shared" si="38"/>
        <v>22</v>
      </c>
      <c r="V57" s="274">
        <f t="shared" si="38"/>
        <v>10</v>
      </c>
      <c r="W57" s="274">
        <f t="shared" si="38"/>
        <v>30</v>
      </c>
      <c r="Y57" s="274">
        <f t="shared" si="36"/>
        <v>22</v>
      </c>
      <c r="Z57" s="274">
        <f t="shared" si="36"/>
        <v>5</v>
      </c>
      <c r="AA57" s="274">
        <f t="shared" si="36"/>
        <v>35</v>
      </c>
      <c r="AC57" s="274">
        <f t="shared" si="37"/>
        <v>22</v>
      </c>
      <c r="AD57" s="274">
        <f t="shared" si="37"/>
        <v>7.5</v>
      </c>
      <c r="AE57" s="274">
        <f t="shared" si="37"/>
        <v>50</v>
      </c>
      <c r="AG57" s="274">
        <f t="shared" si="17"/>
        <v>4</v>
      </c>
      <c r="AI57" s="279">
        <f t="shared" si="18"/>
        <v>0</v>
      </c>
      <c r="AJ57" s="279">
        <f t="shared" si="19"/>
        <v>26.672800000000002</v>
      </c>
      <c r="AK57" s="279">
        <f t="shared" si="20"/>
        <v>0</v>
      </c>
      <c r="AL57" s="279">
        <f t="shared" si="21"/>
        <v>0</v>
      </c>
      <c r="AM57" s="279">
        <f t="shared" si="22"/>
        <v>6.2124000000000006</v>
      </c>
      <c r="AN57" s="279">
        <f t="shared" si="23"/>
        <v>0</v>
      </c>
      <c r="AO57" s="279">
        <f t="shared" si="24"/>
        <v>0</v>
      </c>
      <c r="AP57" s="279">
        <f t="shared" si="25"/>
        <v>42.433999999999997</v>
      </c>
      <c r="AQ57" s="279">
        <f t="shared" si="26"/>
        <v>0</v>
      </c>
      <c r="AR57" s="279">
        <f t="shared" si="27"/>
        <v>0</v>
      </c>
      <c r="AT57" s="279">
        <f t="shared" si="28"/>
        <v>26.672800000000002</v>
      </c>
      <c r="AU57" s="279">
        <f t="shared" si="29"/>
        <v>6.2124000000000006</v>
      </c>
      <c r="AV57" s="279">
        <f t="shared" si="30"/>
        <v>42.433999999999997</v>
      </c>
      <c r="AX57" s="329">
        <f t="shared" si="31"/>
        <v>6.735555555555556</v>
      </c>
      <c r="AY57" s="329">
        <f t="shared" si="31"/>
        <v>6.735555555555556</v>
      </c>
      <c r="AZ57" s="332">
        <f t="shared" si="32"/>
        <v>12487.720000000001</v>
      </c>
      <c r="BA57" s="331">
        <f t="shared" si="33"/>
        <v>102.38044444444444</v>
      </c>
      <c r="BC57" s="344">
        <f t="shared" si="34"/>
        <v>12124</v>
      </c>
      <c r="BD57" s="344">
        <f t="shared" si="35"/>
        <v>2020.6666666666667</v>
      </c>
    </row>
    <row r="58" spans="1:56" x14ac:dyDescent="0.25">
      <c r="A58" s="247">
        <v>171324</v>
      </c>
      <c r="B58" s="247" t="s">
        <v>140</v>
      </c>
      <c r="C58" s="247" t="s">
        <v>131</v>
      </c>
      <c r="D58" s="247">
        <v>5</v>
      </c>
      <c r="E58" s="248" t="s">
        <v>172</v>
      </c>
      <c r="F58" s="250">
        <v>649.1</v>
      </c>
      <c r="G58" s="247" t="s">
        <v>142</v>
      </c>
      <c r="H58" s="247">
        <v>4</v>
      </c>
      <c r="J58" s="250">
        <f t="shared" si="10"/>
        <v>2596.4</v>
      </c>
      <c r="K58" s="250">
        <f t="shared" si="11"/>
        <v>0</v>
      </c>
      <c r="L58" s="250">
        <f t="shared" si="12"/>
        <v>2596.4</v>
      </c>
      <c r="M58" s="250">
        <f t="shared" si="13"/>
        <v>0</v>
      </c>
      <c r="N58" s="250">
        <f t="shared" si="14"/>
        <v>0</v>
      </c>
      <c r="O58" s="263" t="str">
        <f t="shared" si="15"/>
        <v>Ok</v>
      </c>
      <c r="Q58" s="265">
        <f>K58*'Bedarfsanalyse (Rahmenplan)'!$Q$6</f>
        <v>0</v>
      </c>
      <c r="R58" s="265">
        <f>K58*'Bedarfsanalyse (Rahmenplan)'!$R$6</f>
        <v>0</v>
      </c>
      <c r="S58" s="265">
        <f>(L58+M58)*'Bedarfsanalyse (Rahmenplan)'!$S$6</f>
        <v>49.958966014537566</v>
      </c>
      <c r="U58" s="274">
        <f t="shared" si="38"/>
        <v>22</v>
      </c>
      <c r="V58" s="274">
        <f t="shared" si="38"/>
        <v>10</v>
      </c>
      <c r="W58" s="274">
        <f t="shared" si="38"/>
        <v>30</v>
      </c>
      <c r="Y58" s="274">
        <f t="shared" si="36"/>
        <v>22</v>
      </c>
      <c r="Z58" s="274">
        <f t="shared" si="36"/>
        <v>5</v>
      </c>
      <c r="AA58" s="274">
        <f t="shared" si="36"/>
        <v>35</v>
      </c>
      <c r="AC58" s="274">
        <f t="shared" si="37"/>
        <v>22</v>
      </c>
      <c r="AD58" s="274">
        <f t="shared" si="37"/>
        <v>7.5</v>
      </c>
      <c r="AE58" s="274">
        <f t="shared" si="37"/>
        <v>50</v>
      </c>
      <c r="AG58" s="274">
        <f t="shared" si="17"/>
        <v>4</v>
      </c>
      <c r="AI58" s="279">
        <f t="shared" si="18"/>
        <v>0</v>
      </c>
      <c r="AJ58" s="279">
        <f t="shared" si="19"/>
        <v>57.120800000000003</v>
      </c>
      <c r="AK58" s="279">
        <f t="shared" si="20"/>
        <v>0</v>
      </c>
      <c r="AL58" s="279">
        <f t="shared" si="21"/>
        <v>0</v>
      </c>
      <c r="AM58" s="279">
        <f t="shared" si="22"/>
        <v>7.5964</v>
      </c>
      <c r="AN58" s="279">
        <f t="shared" si="23"/>
        <v>0</v>
      </c>
      <c r="AO58" s="279">
        <f t="shared" si="24"/>
        <v>0</v>
      </c>
      <c r="AP58" s="279">
        <f t="shared" si="25"/>
        <v>90.873999999999995</v>
      </c>
      <c r="AQ58" s="279">
        <f t="shared" si="26"/>
        <v>0</v>
      </c>
      <c r="AR58" s="279">
        <f t="shared" si="27"/>
        <v>0</v>
      </c>
      <c r="AT58" s="279">
        <f t="shared" si="28"/>
        <v>57.120800000000003</v>
      </c>
      <c r="AU58" s="279">
        <f t="shared" si="29"/>
        <v>7.5964</v>
      </c>
      <c r="AV58" s="279">
        <f t="shared" si="30"/>
        <v>90.873999999999995</v>
      </c>
      <c r="AX58" s="329">
        <f t="shared" si="31"/>
        <v>14.424444444444443</v>
      </c>
      <c r="AY58" s="329">
        <f t="shared" si="31"/>
        <v>14.424444444444443</v>
      </c>
      <c r="AZ58" s="332">
        <f t="shared" si="32"/>
        <v>26742.919999999995</v>
      </c>
      <c r="BA58" s="331">
        <f t="shared" si="33"/>
        <v>219.25155555555551</v>
      </c>
      <c r="BC58" s="344">
        <f t="shared" si="34"/>
        <v>25964</v>
      </c>
      <c r="BD58" s="344">
        <f t="shared" si="35"/>
        <v>4327.333333333333</v>
      </c>
    </row>
    <row r="59" spans="1:56" x14ac:dyDescent="0.25">
      <c r="A59" s="288">
        <v>174114</v>
      </c>
      <c r="B59" s="288" t="s">
        <v>69</v>
      </c>
      <c r="C59" s="288" t="s">
        <v>131</v>
      </c>
      <c r="D59" s="288" t="s">
        <v>141</v>
      </c>
      <c r="E59" s="289" t="s">
        <v>194</v>
      </c>
      <c r="F59" s="290">
        <v>123.8</v>
      </c>
      <c r="G59" s="288" t="s">
        <v>159</v>
      </c>
      <c r="H59" s="288">
        <v>3</v>
      </c>
      <c r="I59" s="288"/>
      <c r="J59" s="290">
        <f t="shared" si="10"/>
        <v>371.4</v>
      </c>
      <c r="K59" s="290">
        <f t="shared" si="11"/>
        <v>0</v>
      </c>
      <c r="L59" s="290">
        <f t="shared" si="12"/>
        <v>371.4</v>
      </c>
      <c r="M59" s="290">
        <f t="shared" si="13"/>
        <v>0</v>
      </c>
      <c r="N59" s="290">
        <f t="shared" si="14"/>
        <v>0</v>
      </c>
      <c r="O59" s="291" t="str">
        <f t="shared" si="15"/>
        <v>Ok</v>
      </c>
      <c r="P59" s="288"/>
      <c r="Q59" s="292">
        <f>K59*'Bedarfsanalyse (Rahmenplan)'!$Q$6</f>
        <v>0</v>
      </c>
      <c r="R59" s="292">
        <f>K59*'Bedarfsanalyse (Rahmenplan)'!$R$6</f>
        <v>0</v>
      </c>
      <c r="S59" s="292">
        <f>(L59+M59)*'Bedarfsanalyse (Rahmenplan)'!$S$6</f>
        <v>7.1463410791092477</v>
      </c>
      <c r="T59" s="288"/>
      <c r="U59" s="293">
        <f t="shared" si="38"/>
        <v>22</v>
      </c>
      <c r="V59" s="293">
        <f t="shared" si="38"/>
        <v>10</v>
      </c>
      <c r="W59" s="293">
        <f t="shared" si="38"/>
        <v>30</v>
      </c>
      <c r="X59" s="288"/>
      <c r="Y59" s="293">
        <f t="shared" si="36"/>
        <v>22</v>
      </c>
      <c r="Z59" s="293">
        <f t="shared" si="36"/>
        <v>5</v>
      </c>
      <c r="AA59" s="293">
        <f t="shared" si="36"/>
        <v>35</v>
      </c>
      <c r="AB59" s="288"/>
      <c r="AC59" s="293">
        <f t="shared" si="37"/>
        <v>22</v>
      </c>
      <c r="AD59" s="293">
        <f t="shared" si="37"/>
        <v>7.5</v>
      </c>
      <c r="AE59" s="293">
        <f t="shared" si="37"/>
        <v>50</v>
      </c>
      <c r="AF59" s="288"/>
      <c r="AG59" s="293">
        <f t="shared" si="17"/>
        <v>4</v>
      </c>
      <c r="AH59" s="294"/>
      <c r="AI59" s="295">
        <f t="shared" si="18"/>
        <v>0</v>
      </c>
      <c r="AJ59" s="295">
        <f t="shared" si="19"/>
        <v>8.1707999999999998</v>
      </c>
      <c r="AK59" s="295">
        <f t="shared" si="20"/>
        <v>0</v>
      </c>
      <c r="AL59" s="295">
        <f t="shared" si="21"/>
        <v>0</v>
      </c>
      <c r="AM59" s="295">
        <f t="shared" si="22"/>
        <v>5.3713999999999995</v>
      </c>
      <c r="AN59" s="295">
        <f t="shared" si="23"/>
        <v>0</v>
      </c>
      <c r="AO59" s="295">
        <f t="shared" si="24"/>
        <v>0</v>
      </c>
      <c r="AP59" s="295">
        <f t="shared" si="25"/>
        <v>12.999000000000001</v>
      </c>
      <c r="AQ59" s="295">
        <f t="shared" si="26"/>
        <v>0</v>
      </c>
      <c r="AR59" s="295">
        <f t="shared" si="27"/>
        <v>0</v>
      </c>
      <c r="AS59" s="294"/>
      <c r="AT59" s="295">
        <f t="shared" si="28"/>
        <v>8.1707999999999998</v>
      </c>
      <c r="AU59" s="295">
        <f t="shared" si="29"/>
        <v>5.3713999999999995</v>
      </c>
      <c r="AV59" s="295">
        <f t="shared" si="30"/>
        <v>12.999000000000001</v>
      </c>
      <c r="AW59" s="294"/>
      <c r="AX59" s="338">
        <f t="shared" si="31"/>
        <v>2.063333333333333</v>
      </c>
      <c r="AY59" s="338">
        <f t="shared" si="31"/>
        <v>2.063333333333333</v>
      </c>
      <c r="AZ59" s="339">
        <f t="shared" si="32"/>
        <v>3825.4199999999992</v>
      </c>
      <c r="BA59" s="340">
        <f t="shared" si="33"/>
        <v>31.362666666666662</v>
      </c>
      <c r="BB59" s="294"/>
      <c r="BC59" s="346">
        <f t="shared" si="34"/>
        <v>3714</v>
      </c>
      <c r="BD59" s="346">
        <f t="shared" si="35"/>
        <v>619</v>
      </c>
    </row>
    <row r="60" spans="1:56" x14ac:dyDescent="0.25">
      <c r="A60" s="288">
        <v>174214</v>
      </c>
      <c r="B60" s="288" t="s">
        <v>69</v>
      </c>
      <c r="C60" s="288" t="s">
        <v>131</v>
      </c>
      <c r="D60" s="288" t="s">
        <v>141</v>
      </c>
      <c r="E60" s="289" t="s">
        <v>194</v>
      </c>
      <c r="F60" s="290">
        <v>357.7</v>
      </c>
      <c r="G60" s="288" t="s">
        <v>159</v>
      </c>
      <c r="H60" s="288">
        <v>4</v>
      </c>
      <c r="I60" s="288"/>
      <c r="J60" s="290">
        <f t="shared" si="10"/>
        <v>1430.8</v>
      </c>
      <c r="K60" s="290">
        <f t="shared" si="11"/>
        <v>0</v>
      </c>
      <c r="L60" s="290">
        <f t="shared" si="12"/>
        <v>1430.8</v>
      </c>
      <c r="M60" s="290">
        <f t="shared" si="13"/>
        <v>0</v>
      </c>
      <c r="N60" s="290">
        <f t="shared" si="14"/>
        <v>0</v>
      </c>
      <c r="O60" s="291" t="str">
        <f t="shared" si="15"/>
        <v>Ok</v>
      </c>
      <c r="P60" s="288"/>
      <c r="Q60" s="292">
        <f>K60*'Bedarfsanalyse (Rahmenplan)'!$Q$6</f>
        <v>0</v>
      </c>
      <c r="R60" s="292">
        <f>K60*'Bedarfsanalyse (Rahmenplan)'!$R$6</f>
        <v>0</v>
      </c>
      <c r="S60" s="292">
        <f>(L60+M60)*'Bedarfsanalyse (Rahmenplan)'!$S$6</f>
        <v>27.530923037128463</v>
      </c>
      <c r="T60" s="288"/>
      <c r="U60" s="293">
        <f t="shared" si="38"/>
        <v>22</v>
      </c>
      <c r="V60" s="293">
        <f t="shared" si="38"/>
        <v>10</v>
      </c>
      <c r="W60" s="293">
        <f t="shared" si="38"/>
        <v>30</v>
      </c>
      <c r="X60" s="288"/>
      <c r="Y60" s="293">
        <f t="shared" si="36"/>
        <v>22</v>
      </c>
      <c r="Z60" s="293">
        <f t="shared" si="36"/>
        <v>5</v>
      </c>
      <c r="AA60" s="293">
        <f t="shared" si="36"/>
        <v>35</v>
      </c>
      <c r="AB60" s="288"/>
      <c r="AC60" s="293">
        <f t="shared" si="37"/>
        <v>22</v>
      </c>
      <c r="AD60" s="293">
        <f t="shared" si="37"/>
        <v>7.5</v>
      </c>
      <c r="AE60" s="293">
        <f t="shared" si="37"/>
        <v>50</v>
      </c>
      <c r="AF60" s="288"/>
      <c r="AG60" s="293">
        <f t="shared" si="17"/>
        <v>4</v>
      </c>
      <c r="AH60" s="294"/>
      <c r="AI60" s="295">
        <f t="shared" si="18"/>
        <v>0</v>
      </c>
      <c r="AJ60" s="295">
        <f t="shared" si="19"/>
        <v>31.477599999999999</v>
      </c>
      <c r="AK60" s="295">
        <f t="shared" si="20"/>
        <v>0</v>
      </c>
      <c r="AL60" s="295">
        <f t="shared" si="21"/>
        <v>0</v>
      </c>
      <c r="AM60" s="295">
        <f t="shared" si="22"/>
        <v>6.4307999999999996</v>
      </c>
      <c r="AN60" s="295">
        <f t="shared" si="23"/>
        <v>0</v>
      </c>
      <c r="AO60" s="295">
        <f t="shared" si="24"/>
        <v>0</v>
      </c>
      <c r="AP60" s="295">
        <f t="shared" si="25"/>
        <v>50.078000000000003</v>
      </c>
      <c r="AQ60" s="295">
        <f t="shared" si="26"/>
        <v>0</v>
      </c>
      <c r="AR60" s="295">
        <f t="shared" si="27"/>
        <v>0</v>
      </c>
      <c r="AS60" s="294"/>
      <c r="AT60" s="295">
        <f t="shared" si="28"/>
        <v>31.477599999999999</v>
      </c>
      <c r="AU60" s="295">
        <f t="shared" si="29"/>
        <v>6.4307999999999996</v>
      </c>
      <c r="AV60" s="295">
        <f t="shared" si="30"/>
        <v>50.078000000000003</v>
      </c>
      <c r="AW60" s="294"/>
      <c r="AX60" s="338">
        <f t="shared" si="31"/>
        <v>7.9488888888888889</v>
      </c>
      <c r="AY60" s="338">
        <f t="shared" si="31"/>
        <v>7.9488888888888889</v>
      </c>
      <c r="AZ60" s="339">
        <f t="shared" si="32"/>
        <v>14737.24</v>
      </c>
      <c r="BA60" s="340">
        <f t="shared" si="33"/>
        <v>120.8231111111111</v>
      </c>
      <c r="BB60" s="294"/>
      <c r="BC60" s="346">
        <f t="shared" si="34"/>
        <v>14308</v>
      </c>
      <c r="BD60" s="346">
        <f t="shared" si="35"/>
        <v>2384.6666666666665</v>
      </c>
    </row>
    <row r="61" spans="1:56" x14ac:dyDescent="0.25">
      <c r="A61" s="247">
        <v>171124</v>
      </c>
      <c r="B61" s="247" t="s">
        <v>140</v>
      </c>
      <c r="C61" s="247" t="s">
        <v>131</v>
      </c>
      <c r="D61" s="247">
        <v>5</v>
      </c>
      <c r="E61" s="248" t="s">
        <v>172</v>
      </c>
      <c r="F61" s="250">
        <v>1785.1</v>
      </c>
      <c r="G61" s="247" t="s">
        <v>142</v>
      </c>
      <c r="H61" s="247">
        <v>4</v>
      </c>
      <c r="J61" s="250">
        <f t="shared" si="10"/>
        <v>7140.4</v>
      </c>
      <c r="K61" s="250">
        <f t="shared" si="11"/>
        <v>0</v>
      </c>
      <c r="L61" s="250">
        <f t="shared" si="12"/>
        <v>7140.4</v>
      </c>
      <c r="M61" s="250">
        <f t="shared" si="13"/>
        <v>0</v>
      </c>
      <c r="N61" s="250">
        <f t="shared" si="14"/>
        <v>0</v>
      </c>
      <c r="O61" s="263" t="str">
        <f t="shared" si="15"/>
        <v>Ok</v>
      </c>
      <c r="Q61" s="265">
        <f>K61*'Bedarfsanalyse (Rahmenplan)'!$Q$6</f>
        <v>0</v>
      </c>
      <c r="R61" s="265">
        <f>K61*'Bedarfsanalyse (Rahmenplan)'!$R$6</f>
        <v>0</v>
      </c>
      <c r="S61" s="265">
        <f>(L61+M61)*'Bedarfsanalyse (Rahmenplan)'!$S$6</f>
        <v>137.39292902873362</v>
      </c>
      <c r="U61" s="274">
        <f t="shared" si="38"/>
        <v>22</v>
      </c>
      <c r="V61" s="274">
        <f t="shared" si="38"/>
        <v>10</v>
      </c>
      <c r="W61" s="274">
        <f t="shared" si="38"/>
        <v>30</v>
      </c>
      <c r="Y61" s="274">
        <f t="shared" si="36"/>
        <v>22</v>
      </c>
      <c r="Z61" s="274">
        <f t="shared" si="36"/>
        <v>5</v>
      </c>
      <c r="AA61" s="274">
        <f t="shared" si="36"/>
        <v>35</v>
      </c>
      <c r="AC61" s="274">
        <f t="shared" si="37"/>
        <v>22</v>
      </c>
      <c r="AD61" s="274">
        <f t="shared" si="37"/>
        <v>7.5</v>
      </c>
      <c r="AE61" s="274">
        <f t="shared" si="37"/>
        <v>50</v>
      </c>
      <c r="AG61" s="274">
        <f t="shared" si="17"/>
        <v>4</v>
      </c>
      <c r="AI61" s="279">
        <f t="shared" si="18"/>
        <v>0</v>
      </c>
      <c r="AJ61" s="279">
        <f t="shared" si="19"/>
        <v>157.08879999999999</v>
      </c>
      <c r="AK61" s="279">
        <f t="shared" si="20"/>
        <v>0</v>
      </c>
      <c r="AL61" s="279">
        <f t="shared" si="21"/>
        <v>0</v>
      </c>
      <c r="AM61" s="279">
        <f t="shared" si="22"/>
        <v>12.1404</v>
      </c>
      <c r="AN61" s="279">
        <f t="shared" si="23"/>
        <v>0</v>
      </c>
      <c r="AO61" s="279">
        <f t="shared" si="24"/>
        <v>0</v>
      </c>
      <c r="AP61" s="279">
        <f t="shared" si="25"/>
        <v>249.91399999999999</v>
      </c>
      <c r="AQ61" s="279">
        <f t="shared" si="26"/>
        <v>0</v>
      </c>
      <c r="AR61" s="279">
        <f t="shared" si="27"/>
        <v>0</v>
      </c>
      <c r="AT61" s="279">
        <f t="shared" si="28"/>
        <v>157.08879999999999</v>
      </c>
      <c r="AU61" s="279">
        <f t="shared" si="29"/>
        <v>12.1404</v>
      </c>
      <c r="AV61" s="279">
        <f t="shared" si="30"/>
        <v>249.91399999999999</v>
      </c>
      <c r="AX61" s="329">
        <f t="shared" si="31"/>
        <v>39.66888888888888</v>
      </c>
      <c r="AY61" s="329">
        <f t="shared" si="31"/>
        <v>39.66888888888888</v>
      </c>
      <c r="AZ61" s="332">
        <f t="shared" si="32"/>
        <v>73546.119999999981</v>
      </c>
      <c r="BA61" s="331">
        <f t="shared" si="33"/>
        <v>602.96711111111097</v>
      </c>
      <c r="BC61" s="344">
        <f t="shared" si="34"/>
        <v>71404</v>
      </c>
      <c r="BD61" s="344">
        <f t="shared" si="35"/>
        <v>11900.666666666666</v>
      </c>
    </row>
    <row r="62" spans="1:56" x14ac:dyDescent="0.25">
      <c r="A62" s="288">
        <v>151114</v>
      </c>
      <c r="B62" s="288" t="s">
        <v>69</v>
      </c>
      <c r="C62" s="288" t="s">
        <v>131</v>
      </c>
      <c r="D62" s="288" t="s">
        <v>144</v>
      </c>
      <c r="E62" s="289" t="s">
        <v>195</v>
      </c>
      <c r="F62" s="290">
        <v>931.1</v>
      </c>
      <c r="G62" s="288" t="s">
        <v>160</v>
      </c>
      <c r="H62" s="288">
        <v>3</v>
      </c>
      <c r="I62" s="288"/>
      <c r="J62" s="290">
        <f t="shared" si="10"/>
        <v>2793.3</v>
      </c>
      <c r="K62" s="290">
        <f t="shared" si="11"/>
        <v>0</v>
      </c>
      <c r="L62" s="290">
        <f t="shared" si="12"/>
        <v>2793.3</v>
      </c>
      <c r="M62" s="290">
        <f t="shared" si="13"/>
        <v>0</v>
      </c>
      <c r="N62" s="290">
        <f t="shared" si="14"/>
        <v>0</v>
      </c>
      <c r="O62" s="291" t="str">
        <f t="shared" si="15"/>
        <v>Ok</v>
      </c>
      <c r="P62" s="288"/>
      <c r="Q62" s="292">
        <f>K62*'Bedarfsanalyse (Rahmenplan)'!$Q$6</f>
        <v>0</v>
      </c>
      <c r="R62" s="292">
        <f>K62*'Bedarfsanalyse (Rahmenplan)'!$R$6</f>
        <v>0</v>
      </c>
      <c r="S62" s="292">
        <f>(L62+M62)*'Bedarfsanalyse (Rahmenplan)'!$S$6</f>
        <v>53.747642800958168</v>
      </c>
      <c r="T62" s="288"/>
      <c r="U62" s="293">
        <f t="shared" si="38"/>
        <v>22</v>
      </c>
      <c r="V62" s="293">
        <f t="shared" si="38"/>
        <v>10</v>
      </c>
      <c r="W62" s="293">
        <f t="shared" si="38"/>
        <v>30</v>
      </c>
      <c r="X62" s="288"/>
      <c r="Y62" s="293">
        <f t="shared" si="36"/>
        <v>22</v>
      </c>
      <c r="Z62" s="293">
        <f t="shared" si="36"/>
        <v>5</v>
      </c>
      <c r="AA62" s="293">
        <f t="shared" si="36"/>
        <v>35</v>
      </c>
      <c r="AB62" s="288"/>
      <c r="AC62" s="293">
        <f t="shared" si="37"/>
        <v>22</v>
      </c>
      <c r="AD62" s="293">
        <f t="shared" si="37"/>
        <v>7.5</v>
      </c>
      <c r="AE62" s="293">
        <f t="shared" si="37"/>
        <v>50</v>
      </c>
      <c r="AF62" s="288"/>
      <c r="AG62" s="293">
        <f t="shared" si="17"/>
        <v>4</v>
      </c>
      <c r="AH62" s="294"/>
      <c r="AI62" s="295">
        <f t="shared" si="18"/>
        <v>0</v>
      </c>
      <c r="AJ62" s="295">
        <f t="shared" si="19"/>
        <v>61.452600000000004</v>
      </c>
      <c r="AK62" s="295">
        <f t="shared" si="20"/>
        <v>0</v>
      </c>
      <c r="AL62" s="295">
        <f t="shared" si="21"/>
        <v>0</v>
      </c>
      <c r="AM62" s="295">
        <f t="shared" si="22"/>
        <v>7.7933000000000003</v>
      </c>
      <c r="AN62" s="295">
        <f t="shared" si="23"/>
        <v>0</v>
      </c>
      <c r="AO62" s="295">
        <f t="shared" si="24"/>
        <v>0</v>
      </c>
      <c r="AP62" s="295">
        <f t="shared" si="25"/>
        <v>97.765500000000003</v>
      </c>
      <c r="AQ62" s="295">
        <f t="shared" si="26"/>
        <v>0</v>
      </c>
      <c r="AR62" s="295">
        <f t="shared" si="27"/>
        <v>0</v>
      </c>
      <c r="AS62" s="294"/>
      <c r="AT62" s="295">
        <f t="shared" si="28"/>
        <v>61.452600000000004</v>
      </c>
      <c r="AU62" s="295">
        <f t="shared" si="29"/>
        <v>7.7933000000000003</v>
      </c>
      <c r="AV62" s="295">
        <f t="shared" si="30"/>
        <v>97.765500000000003</v>
      </c>
      <c r="AW62" s="294"/>
      <c r="AX62" s="338">
        <f t="shared" si="31"/>
        <v>15.518333333333334</v>
      </c>
      <c r="AY62" s="338">
        <f t="shared" si="31"/>
        <v>15.518333333333334</v>
      </c>
      <c r="AZ62" s="339">
        <f t="shared" si="32"/>
        <v>28770.99</v>
      </c>
      <c r="BA62" s="340">
        <f t="shared" si="33"/>
        <v>235.87866666666667</v>
      </c>
      <c r="BB62" s="294"/>
      <c r="BC62" s="346">
        <f t="shared" si="34"/>
        <v>27933</v>
      </c>
      <c r="BD62" s="346">
        <f t="shared" si="35"/>
        <v>4655.5</v>
      </c>
    </row>
    <row r="63" spans="1:56" x14ac:dyDescent="0.25">
      <c r="A63" s="288">
        <v>175011</v>
      </c>
      <c r="B63" s="288" t="s">
        <v>69</v>
      </c>
      <c r="C63" s="288" t="s">
        <v>30</v>
      </c>
      <c r="D63" s="288" t="s">
        <v>141</v>
      </c>
      <c r="E63" s="289" t="s">
        <v>203</v>
      </c>
      <c r="F63" s="290">
        <v>684.4</v>
      </c>
      <c r="G63" s="288" t="s">
        <v>168</v>
      </c>
      <c r="H63" s="288">
        <v>2</v>
      </c>
      <c r="I63" s="288"/>
      <c r="J63" s="290">
        <f t="shared" si="10"/>
        <v>1368.8</v>
      </c>
      <c r="K63" s="290">
        <f t="shared" si="11"/>
        <v>0</v>
      </c>
      <c r="L63" s="290">
        <f t="shared" si="12"/>
        <v>0</v>
      </c>
      <c r="M63" s="290">
        <f t="shared" si="13"/>
        <v>1368.8</v>
      </c>
      <c r="N63" s="290">
        <f t="shared" si="14"/>
        <v>0</v>
      </c>
      <c r="O63" s="291" t="str">
        <f t="shared" si="15"/>
        <v>Ok</v>
      </c>
      <c r="P63" s="288"/>
      <c r="Q63" s="292">
        <f>K63*'Bedarfsanalyse (Rahmenplan)'!$Q$6</f>
        <v>0</v>
      </c>
      <c r="R63" s="292">
        <f>K63*'Bedarfsanalyse (Rahmenplan)'!$R$6</f>
        <v>0</v>
      </c>
      <c r="S63" s="292">
        <f>(L63+M63)*'Bedarfsanalyse (Rahmenplan)'!$S$6</f>
        <v>26.33794202769181</v>
      </c>
      <c r="T63" s="288"/>
      <c r="U63" s="293">
        <f t="shared" si="38"/>
        <v>22</v>
      </c>
      <c r="V63" s="293">
        <f t="shared" si="38"/>
        <v>10</v>
      </c>
      <c r="W63" s="293">
        <f t="shared" si="38"/>
        <v>30</v>
      </c>
      <c r="X63" s="288"/>
      <c r="Y63" s="293">
        <f t="shared" si="36"/>
        <v>22</v>
      </c>
      <c r="Z63" s="293">
        <f t="shared" si="36"/>
        <v>5</v>
      </c>
      <c r="AA63" s="293">
        <f t="shared" si="36"/>
        <v>35</v>
      </c>
      <c r="AB63" s="288"/>
      <c r="AC63" s="293">
        <f t="shared" si="37"/>
        <v>22</v>
      </c>
      <c r="AD63" s="293">
        <f t="shared" si="37"/>
        <v>7.5</v>
      </c>
      <c r="AE63" s="293">
        <f t="shared" si="37"/>
        <v>50</v>
      </c>
      <c r="AF63" s="288"/>
      <c r="AG63" s="293">
        <f t="shared" si="17"/>
        <v>4</v>
      </c>
      <c r="AH63" s="294"/>
      <c r="AI63" s="295">
        <f t="shared" si="18"/>
        <v>0</v>
      </c>
      <c r="AJ63" s="295">
        <f t="shared" si="19"/>
        <v>0</v>
      </c>
      <c r="AK63" s="295">
        <f t="shared" si="20"/>
        <v>30.113599999999998</v>
      </c>
      <c r="AL63" s="295">
        <f t="shared" si="21"/>
        <v>0</v>
      </c>
      <c r="AM63" s="295">
        <f t="shared" si="22"/>
        <v>5</v>
      </c>
      <c r="AN63" s="295">
        <f t="shared" si="23"/>
        <v>10.266</v>
      </c>
      <c r="AO63" s="295">
        <f t="shared" si="24"/>
        <v>0</v>
      </c>
      <c r="AP63" s="295">
        <f t="shared" si="25"/>
        <v>0</v>
      </c>
      <c r="AQ63" s="295">
        <f t="shared" si="26"/>
        <v>68.44</v>
      </c>
      <c r="AR63" s="295">
        <f t="shared" si="27"/>
        <v>0</v>
      </c>
      <c r="AS63" s="294"/>
      <c r="AT63" s="295">
        <f t="shared" si="28"/>
        <v>30.113599999999998</v>
      </c>
      <c r="AU63" s="295">
        <f t="shared" si="29"/>
        <v>15.266</v>
      </c>
      <c r="AV63" s="295">
        <f t="shared" si="30"/>
        <v>68.44</v>
      </c>
      <c r="AW63" s="294"/>
      <c r="AX63" s="338">
        <f t="shared" si="31"/>
        <v>7.6044444444444439</v>
      </c>
      <c r="AY63" s="338">
        <f t="shared" si="31"/>
        <v>7.6044444444444439</v>
      </c>
      <c r="AZ63" s="339">
        <f t="shared" si="32"/>
        <v>14098.639999999998</v>
      </c>
      <c r="BA63" s="340">
        <f t="shared" si="33"/>
        <v>115.58755555555554</v>
      </c>
      <c r="BB63" s="294"/>
      <c r="BC63" s="346">
        <f t="shared" si="34"/>
        <v>13688</v>
      </c>
      <c r="BD63" s="346">
        <f t="shared" si="35"/>
        <v>2281.3333333333335</v>
      </c>
    </row>
    <row r="64" spans="1:56" x14ac:dyDescent="0.25">
      <c r="A64" s="288">
        <v>131114</v>
      </c>
      <c r="B64" s="288" t="s">
        <v>69</v>
      </c>
      <c r="C64" s="288" t="s">
        <v>131</v>
      </c>
      <c r="D64" s="288">
        <v>1</v>
      </c>
      <c r="E64" s="289" t="s">
        <v>204</v>
      </c>
      <c r="F64" s="290">
        <v>162.4</v>
      </c>
      <c r="G64" s="288" t="s">
        <v>169</v>
      </c>
      <c r="H64" s="288">
        <v>4</v>
      </c>
      <c r="I64" s="288"/>
      <c r="J64" s="290">
        <f t="shared" si="10"/>
        <v>649.6</v>
      </c>
      <c r="K64" s="290">
        <f t="shared" si="11"/>
        <v>0</v>
      </c>
      <c r="L64" s="290">
        <f t="shared" si="12"/>
        <v>649.6</v>
      </c>
      <c r="M64" s="290">
        <f t="shared" si="13"/>
        <v>0</v>
      </c>
      <c r="N64" s="290">
        <f t="shared" si="14"/>
        <v>0</v>
      </c>
      <c r="O64" s="291" t="str">
        <f t="shared" si="15"/>
        <v>Ok</v>
      </c>
      <c r="P64" s="288"/>
      <c r="Q64" s="292">
        <f>K64*'Bedarfsanalyse (Rahmenplan)'!$Q$6</f>
        <v>0</v>
      </c>
      <c r="R64" s="292">
        <f>K64*'Bedarfsanalyse (Rahmenplan)'!$R$6</f>
        <v>0</v>
      </c>
      <c r="S64" s="292">
        <f>(L64+M64)*'Bedarfsanalyse (Rahmenplan)'!$S$6</f>
        <v>12.499362318226622</v>
      </c>
      <c r="T64" s="288"/>
      <c r="U64" s="293">
        <f t="shared" si="38"/>
        <v>22</v>
      </c>
      <c r="V64" s="293">
        <f t="shared" si="38"/>
        <v>10</v>
      </c>
      <c r="W64" s="293">
        <f t="shared" si="38"/>
        <v>30</v>
      </c>
      <c r="X64" s="288"/>
      <c r="Y64" s="293">
        <f t="shared" si="36"/>
        <v>22</v>
      </c>
      <c r="Z64" s="293">
        <f t="shared" si="36"/>
        <v>5</v>
      </c>
      <c r="AA64" s="293">
        <f t="shared" si="36"/>
        <v>35</v>
      </c>
      <c r="AB64" s="288"/>
      <c r="AC64" s="293">
        <f t="shared" si="37"/>
        <v>22</v>
      </c>
      <c r="AD64" s="293">
        <f t="shared" si="37"/>
        <v>7.5</v>
      </c>
      <c r="AE64" s="293">
        <f t="shared" si="37"/>
        <v>50</v>
      </c>
      <c r="AF64" s="288"/>
      <c r="AG64" s="293">
        <f t="shared" si="17"/>
        <v>4</v>
      </c>
      <c r="AH64" s="294"/>
      <c r="AI64" s="295">
        <f t="shared" si="18"/>
        <v>0</v>
      </c>
      <c r="AJ64" s="295">
        <f t="shared" si="19"/>
        <v>14.2912</v>
      </c>
      <c r="AK64" s="295">
        <f t="shared" si="20"/>
        <v>0</v>
      </c>
      <c r="AL64" s="295">
        <f t="shared" si="21"/>
        <v>0</v>
      </c>
      <c r="AM64" s="295">
        <f t="shared" si="22"/>
        <v>5.6496000000000004</v>
      </c>
      <c r="AN64" s="295">
        <f t="shared" si="23"/>
        <v>0</v>
      </c>
      <c r="AO64" s="295">
        <f t="shared" si="24"/>
        <v>0</v>
      </c>
      <c r="AP64" s="295">
        <f t="shared" si="25"/>
        <v>22.736000000000001</v>
      </c>
      <c r="AQ64" s="295">
        <f t="shared" si="26"/>
        <v>0</v>
      </c>
      <c r="AR64" s="295">
        <f t="shared" si="27"/>
        <v>0</v>
      </c>
      <c r="AS64" s="294"/>
      <c r="AT64" s="295">
        <f t="shared" si="28"/>
        <v>14.2912</v>
      </c>
      <c r="AU64" s="295">
        <f t="shared" si="29"/>
        <v>5.6496000000000004</v>
      </c>
      <c r="AV64" s="295">
        <f t="shared" si="30"/>
        <v>22.736000000000001</v>
      </c>
      <c r="AW64" s="294"/>
      <c r="AX64" s="338">
        <f t="shared" si="31"/>
        <v>3.608888888888889</v>
      </c>
      <c r="AY64" s="338">
        <f t="shared" si="31"/>
        <v>3.608888888888889</v>
      </c>
      <c r="AZ64" s="339">
        <f t="shared" si="32"/>
        <v>6690.8799999999992</v>
      </c>
      <c r="BA64" s="340">
        <f t="shared" si="33"/>
        <v>54.855111111111114</v>
      </c>
      <c r="BB64" s="294"/>
      <c r="BC64" s="346">
        <f t="shared" si="34"/>
        <v>6496</v>
      </c>
      <c r="BD64" s="346">
        <f t="shared" si="35"/>
        <v>1082.6666666666667</v>
      </c>
    </row>
    <row r="65" spans="1:56" x14ac:dyDescent="0.25">
      <c r="A65" s="288">
        <v>131214</v>
      </c>
      <c r="B65" s="288" t="s">
        <v>69</v>
      </c>
      <c r="C65" s="288" t="s">
        <v>131</v>
      </c>
      <c r="D65" s="288">
        <v>1</v>
      </c>
      <c r="E65" s="289" t="s">
        <v>204</v>
      </c>
      <c r="F65" s="290">
        <v>162.4</v>
      </c>
      <c r="G65" s="288" t="s">
        <v>169</v>
      </c>
      <c r="H65" s="288">
        <v>4</v>
      </c>
      <c r="I65" s="288"/>
      <c r="J65" s="290">
        <f t="shared" si="10"/>
        <v>649.6</v>
      </c>
      <c r="K65" s="290">
        <f t="shared" si="11"/>
        <v>0</v>
      </c>
      <c r="L65" s="290">
        <f t="shared" si="12"/>
        <v>649.6</v>
      </c>
      <c r="M65" s="290">
        <f t="shared" si="13"/>
        <v>0</v>
      </c>
      <c r="N65" s="290">
        <f t="shared" si="14"/>
        <v>0</v>
      </c>
      <c r="O65" s="291" t="str">
        <f t="shared" si="15"/>
        <v>Ok</v>
      </c>
      <c r="P65" s="288"/>
      <c r="Q65" s="292">
        <f>K65*'Bedarfsanalyse (Rahmenplan)'!$Q$6</f>
        <v>0</v>
      </c>
      <c r="R65" s="292">
        <f>K65*'Bedarfsanalyse (Rahmenplan)'!$R$6</f>
        <v>0</v>
      </c>
      <c r="S65" s="292">
        <f>(L65+M65)*'Bedarfsanalyse (Rahmenplan)'!$S$6</f>
        <v>12.499362318226622</v>
      </c>
      <c r="T65" s="288"/>
      <c r="U65" s="293">
        <f t="shared" si="38"/>
        <v>22</v>
      </c>
      <c r="V65" s="293">
        <f t="shared" si="38"/>
        <v>10</v>
      </c>
      <c r="W65" s="293">
        <f t="shared" si="38"/>
        <v>30</v>
      </c>
      <c r="X65" s="288"/>
      <c r="Y65" s="293">
        <f t="shared" si="36"/>
        <v>22</v>
      </c>
      <c r="Z65" s="293">
        <f t="shared" si="36"/>
        <v>5</v>
      </c>
      <c r="AA65" s="293">
        <f t="shared" si="36"/>
        <v>35</v>
      </c>
      <c r="AB65" s="288"/>
      <c r="AC65" s="293">
        <f t="shared" si="37"/>
        <v>22</v>
      </c>
      <c r="AD65" s="293">
        <f t="shared" si="37"/>
        <v>7.5</v>
      </c>
      <c r="AE65" s="293">
        <f t="shared" si="37"/>
        <v>50</v>
      </c>
      <c r="AF65" s="288"/>
      <c r="AG65" s="293">
        <f t="shared" si="17"/>
        <v>4</v>
      </c>
      <c r="AH65" s="294"/>
      <c r="AI65" s="295">
        <f t="shared" si="18"/>
        <v>0</v>
      </c>
      <c r="AJ65" s="295">
        <f t="shared" si="19"/>
        <v>14.2912</v>
      </c>
      <c r="AK65" s="295">
        <f t="shared" si="20"/>
        <v>0</v>
      </c>
      <c r="AL65" s="295">
        <f t="shared" si="21"/>
        <v>0</v>
      </c>
      <c r="AM65" s="295">
        <f t="shared" si="22"/>
        <v>5.6496000000000004</v>
      </c>
      <c r="AN65" s="295">
        <f t="shared" si="23"/>
        <v>0</v>
      </c>
      <c r="AO65" s="295">
        <f t="shared" si="24"/>
        <v>0</v>
      </c>
      <c r="AP65" s="295">
        <f t="shared" si="25"/>
        <v>22.736000000000001</v>
      </c>
      <c r="AQ65" s="295">
        <f t="shared" si="26"/>
        <v>0</v>
      </c>
      <c r="AR65" s="295">
        <f t="shared" si="27"/>
        <v>0</v>
      </c>
      <c r="AS65" s="294"/>
      <c r="AT65" s="295">
        <f t="shared" si="28"/>
        <v>14.2912</v>
      </c>
      <c r="AU65" s="295">
        <f t="shared" si="29"/>
        <v>5.6496000000000004</v>
      </c>
      <c r="AV65" s="295">
        <f t="shared" si="30"/>
        <v>22.736000000000001</v>
      </c>
      <c r="AW65" s="294"/>
      <c r="AX65" s="338">
        <f t="shared" si="31"/>
        <v>3.608888888888889</v>
      </c>
      <c r="AY65" s="338">
        <f t="shared" si="31"/>
        <v>3.608888888888889</v>
      </c>
      <c r="AZ65" s="339">
        <f t="shared" si="32"/>
        <v>6690.8799999999992</v>
      </c>
      <c r="BA65" s="340">
        <f t="shared" si="33"/>
        <v>54.855111111111114</v>
      </c>
      <c r="BB65" s="294"/>
      <c r="BC65" s="346">
        <f t="shared" si="34"/>
        <v>6496</v>
      </c>
      <c r="BD65" s="346">
        <f t="shared" si="35"/>
        <v>1082.6666666666667</v>
      </c>
    </row>
    <row r="66" spans="1:56" x14ac:dyDescent="0.25">
      <c r="A66" s="288">
        <v>131614</v>
      </c>
      <c r="B66" s="288" t="s">
        <v>69</v>
      </c>
      <c r="C66" s="288" t="s">
        <v>131</v>
      </c>
      <c r="D66" s="288">
        <v>1</v>
      </c>
      <c r="E66" s="289" t="s">
        <v>204</v>
      </c>
      <c r="F66" s="290">
        <v>798.9</v>
      </c>
      <c r="G66" s="288" t="s">
        <v>169</v>
      </c>
      <c r="H66" s="288">
        <v>6</v>
      </c>
      <c r="I66" s="288"/>
      <c r="J66" s="290">
        <f t="shared" si="10"/>
        <v>4793.3999999999996</v>
      </c>
      <c r="K66" s="290">
        <f t="shared" si="11"/>
        <v>0</v>
      </c>
      <c r="L66" s="290">
        <f t="shared" si="12"/>
        <v>4793.3999999999996</v>
      </c>
      <c r="M66" s="290">
        <f t="shared" si="13"/>
        <v>0</v>
      </c>
      <c r="N66" s="290">
        <f t="shared" si="14"/>
        <v>0</v>
      </c>
      <c r="O66" s="291" t="str">
        <f t="shared" si="15"/>
        <v>Ok</v>
      </c>
      <c r="P66" s="288"/>
      <c r="Q66" s="292">
        <f>K66*'Bedarfsanalyse (Rahmenplan)'!$Q$6</f>
        <v>0</v>
      </c>
      <c r="R66" s="292">
        <f>K66*'Bedarfsanalyse (Rahmenplan)'!$R$6</f>
        <v>0</v>
      </c>
      <c r="S66" s="292">
        <f>(L66+M66)*'Bedarfsanalyse (Rahmenplan)'!$S$6</f>
        <v>92.232825332800928</v>
      </c>
      <c r="T66" s="288"/>
      <c r="U66" s="293">
        <f t="shared" si="38"/>
        <v>22</v>
      </c>
      <c r="V66" s="293">
        <f t="shared" si="38"/>
        <v>10</v>
      </c>
      <c r="W66" s="293">
        <f t="shared" si="38"/>
        <v>30</v>
      </c>
      <c r="X66" s="288"/>
      <c r="Y66" s="293">
        <f t="shared" si="36"/>
        <v>22</v>
      </c>
      <c r="Z66" s="293">
        <f t="shared" si="36"/>
        <v>5</v>
      </c>
      <c r="AA66" s="293">
        <f t="shared" si="36"/>
        <v>35</v>
      </c>
      <c r="AB66" s="288"/>
      <c r="AC66" s="293">
        <f t="shared" si="37"/>
        <v>22</v>
      </c>
      <c r="AD66" s="293">
        <f t="shared" si="37"/>
        <v>7.5</v>
      </c>
      <c r="AE66" s="293">
        <f t="shared" si="37"/>
        <v>50</v>
      </c>
      <c r="AF66" s="288"/>
      <c r="AG66" s="293">
        <f t="shared" si="17"/>
        <v>4</v>
      </c>
      <c r="AH66" s="294"/>
      <c r="AI66" s="295">
        <f t="shared" si="18"/>
        <v>0</v>
      </c>
      <c r="AJ66" s="295">
        <f t="shared" si="19"/>
        <v>105.45479999999999</v>
      </c>
      <c r="AK66" s="295">
        <f t="shared" si="20"/>
        <v>0</v>
      </c>
      <c r="AL66" s="295">
        <f t="shared" si="21"/>
        <v>0</v>
      </c>
      <c r="AM66" s="295">
        <f t="shared" si="22"/>
        <v>9.7933999999999983</v>
      </c>
      <c r="AN66" s="295">
        <f t="shared" si="23"/>
        <v>0</v>
      </c>
      <c r="AO66" s="295">
        <f t="shared" si="24"/>
        <v>0</v>
      </c>
      <c r="AP66" s="295">
        <f t="shared" si="25"/>
        <v>167.76900000000001</v>
      </c>
      <c r="AQ66" s="295">
        <f t="shared" si="26"/>
        <v>0</v>
      </c>
      <c r="AR66" s="295">
        <f t="shared" si="27"/>
        <v>0</v>
      </c>
      <c r="AS66" s="294"/>
      <c r="AT66" s="295">
        <f t="shared" si="28"/>
        <v>105.45479999999999</v>
      </c>
      <c r="AU66" s="295">
        <f t="shared" si="29"/>
        <v>9.7933999999999983</v>
      </c>
      <c r="AV66" s="295">
        <f t="shared" si="30"/>
        <v>167.76900000000001</v>
      </c>
      <c r="AW66" s="294"/>
      <c r="AX66" s="338">
        <f t="shared" si="31"/>
        <v>26.63</v>
      </c>
      <c r="AY66" s="338">
        <f t="shared" si="31"/>
        <v>26.63</v>
      </c>
      <c r="AZ66" s="339">
        <f t="shared" si="32"/>
        <v>49372.02</v>
      </c>
      <c r="BA66" s="340">
        <f t="shared" si="33"/>
        <v>404.77599999999995</v>
      </c>
      <c r="BB66" s="294"/>
      <c r="BC66" s="346">
        <f t="shared" si="34"/>
        <v>47934</v>
      </c>
      <c r="BD66" s="346">
        <f t="shared" si="35"/>
        <v>7989</v>
      </c>
    </row>
    <row r="67" spans="1:56" x14ac:dyDescent="0.25">
      <c r="A67" s="288">
        <v>131414</v>
      </c>
      <c r="B67" s="288" t="s">
        <v>69</v>
      </c>
      <c r="C67" s="288" t="s">
        <v>131</v>
      </c>
      <c r="D67" s="288">
        <v>1</v>
      </c>
      <c r="E67" s="289" t="s">
        <v>204</v>
      </c>
      <c r="F67" s="290">
        <v>826.6</v>
      </c>
      <c r="G67" s="288" t="s">
        <v>169</v>
      </c>
      <c r="H67" s="288">
        <v>6</v>
      </c>
      <c r="I67" s="288"/>
      <c r="J67" s="290">
        <f t="shared" si="10"/>
        <v>4959.6000000000004</v>
      </c>
      <c r="K67" s="290">
        <f t="shared" si="11"/>
        <v>0</v>
      </c>
      <c r="L67" s="290">
        <f t="shared" si="12"/>
        <v>4959.6000000000004</v>
      </c>
      <c r="M67" s="290">
        <f t="shared" si="13"/>
        <v>0</v>
      </c>
      <c r="N67" s="290">
        <f t="shared" si="14"/>
        <v>0</v>
      </c>
      <c r="O67" s="291" t="str">
        <f t="shared" si="15"/>
        <v>Ok</v>
      </c>
      <c r="P67" s="288"/>
      <c r="Q67" s="292">
        <f>K67*'Bedarfsanalyse (Rahmenplan)'!$Q$6</f>
        <v>0</v>
      </c>
      <c r="R67" s="292">
        <f>K67*'Bedarfsanalyse (Rahmenplan)'!$R$6</f>
        <v>0</v>
      </c>
      <c r="S67" s="292">
        <f>(L67+M67)*'Bedarfsanalyse (Rahmenplan)'!$S$6</f>
        <v>95.43078410325856</v>
      </c>
      <c r="T67" s="288"/>
      <c r="U67" s="293">
        <f t="shared" si="38"/>
        <v>22</v>
      </c>
      <c r="V67" s="293">
        <f t="shared" si="38"/>
        <v>10</v>
      </c>
      <c r="W67" s="293">
        <f t="shared" si="38"/>
        <v>30</v>
      </c>
      <c r="X67" s="288"/>
      <c r="Y67" s="293">
        <f t="shared" si="36"/>
        <v>22</v>
      </c>
      <c r="Z67" s="293">
        <f t="shared" si="36"/>
        <v>5</v>
      </c>
      <c r="AA67" s="293">
        <f t="shared" si="36"/>
        <v>35</v>
      </c>
      <c r="AB67" s="288"/>
      <c r="AC67" s="293">
        <f t="shared" si="37"/>
        <v>22</v>
      </c>
      <c r="AD67" s="293">
        <f t="shared" si="37"/>
        <v>7.5</v>
      </c>
      <c r="AE67" s="293">
        <f t="shared" si="37"/>
        <v>50</v>
      </c>
      <c r="AF67" s="288"/>
      <c r="AG67" s="293">
        <f t="shared" si="17"/>
        <v>4</v>
      </c>
      <c r="AH67" s="294"/>
      <c r="AI67" s="295">
        <f t="shared" si="18"/>
        <v>0</v>
      </c>
      <c r="AJ67" s="295">
        <f t="shared" si="19"/>
        <v>109.11120000000001</v>
      </c>
      <c r="AK67" s="295">
        <f t="shared" si="20"/>
        <v>0</v>
      </c>
      <c r="AL67" s="295">
        <f t="shared" si="21"/>
        <v>0</v>
      </c>
      <c r="AM67" s="295">
        <f t="shared" si="22"/>
        <v>9.9596</v>
      </c>
      <c r="AN67" s="295">
        <f t="shared" si="23"/>
        <v>0</v>
      </c>
      <c r="AO67" s="295">
        <f t="shared" si="24"/>
        <v>0</v>
      </c>
      <c r="AP67" s="295">
        <f t="shared" si="25"/>
        <v>173.58600000000001</v>
      </c>
      <c r="AQ67" s="295">
        <f t="shared" si="26"/>
        <v>0</v>
      </c>
      <c r="AR67" s="295">
        <f t="shared" si="27"/>
        <v>0</v>
      </c>
      <c r="AS67" s="294"/>
      <c r="AT67" s="295">
        <f t="shared" si="28"/>
        <v>109.11120000000001</v>
      </c>
      <c r="AU67" s="295">
        <f t="shared" si="29"/>
        <v>9.9596</v>
      </c>
      <c r="AV67" s="295">
        <f t="shared" si="30"/>
        <v>173.58600000000001</v>
      </c>
      <c r="AW67" s="294"/>
      <c r="AX67" s="338">
        <f t="shared" si="31"/>
        <v>27.553333333333335</v>
      </c>
      <c r="AY67" s="338">
        <f t="shared" si="31"/>
        <v>27.553333333333335</v>
      </c>
      <c r="AZ67" s="339">
        <f t="shared" si="32"/>
        <v>51083.880000000005</v>
      </c>
      <c r="BA67" s="340">
        <f t="shared" si="33"/>
        <v>418.81066666666663</v>
      </c>
      <c r="BB67" s="294"/>
      <c r="BC67" s="346">
        <f t="shared" si="34"/>
        <v>49596</v>
      </c>
      <c r="BD67" s="346">
        <f t="shared" si="35"/>
        <v>8266</v>
      </c>
    </row>
    <row r="68" spans="1:56" x14ac:dyDescent="0.25">
      <c r="A68" s="288">
        <v>131514</v>
      </c>
      <c r="B68" s="288" t="s">
        <v>69</v>
      </c>
      <c r="C68" s="288" t="s">
        <v>131</v>
      </c>
      <c r="D68" s="288">
        <v>1</v>
      </c>
      <c r="E68" s="289" t="s">
        <v>204</v>
      </c>
      <c r="F68" s="290">
        <v>775.4</v>
      </c>
      <c r="G68" s="288" t="s">
        <v>169</v>
      </c>
      <c r="H68" s="288">
        <v>2</v>
      </c>
      <c r="I68" s="288"/>
      <c r="J68" s="290">
        <f t="shared" si="10"/>
        <v>1550.8</v>
      </c>
      <c r="K68" s="290">
        <f t="shared" si="11"/>
        <v>0</v>
      </c>
      <c r="L68" s="290">
        <f t="shared" si="12"/>
        <v>1550.8</v>
      </c>
      <c r="M68" s="290">
        <f t="shared" si="13"/>
        <v>0</v>
      </c>
      <c r="N68" s="290">
        <f t="shared" si="14"/>
        <v>0</v>
      </c>
      <c r="O68" s="291" t="str">
        <f t="shared" si="15"/>
        <v>Ok</v>
      </c>
      <c r="P68" s="288"/>
      <c r="Q68" s="292">
        <f>K68*'Bedarfsanalyse (Rahmenplan)'!$Q$6</f>
        <v>0</v>
      </c>
      <c r="R68" s="292">
        <f>K68*'Bedarfsanalyse (Rahmenplan)'!$R$6</f>
        <v>0</v>
      </c>
      <c r="S68" s="292">
        <f>(L68+M68)*'Bedarfsanalyse (Rahmenplan)'!$S$6</f>
        <v>29.839918539263923</v>
      </c>
      <c r="T68" s="288"/>
      <c r="U68" s="293">
        <f t="shared" si="38"/>
        <v>22</v>
      </c>
      <c r="V68" s="293">
        <f t="shared" si="38"/>
        <v>10</v>
      </c>
      <c r="W68" s="293">
        <f t="shared" si="38"/>
        <v>30</v>
      </c>
      <c r="X68" s="288"/>
      <c r="Y68" s="293">
        <f t="shared" si="36"/>
        <v>22</v>
      </c>
      <c r="Z68" s="293">
        <f t="shared" si="36"/>
        <v>5</v>
      </c>
      <c r="AA68" s="293">
        <f t="shared" si="36"/>
        <v>35</v>
      </c>
      <c r="AB68" s="288"/>
      <c r="AC68" s="293">
        <f t="shared" si="37"/>
        <v>22</v>
      </c>
      <c r="AD68" s="293">
        <f t="shared" si="37"/>
        <v>7.5</v>
      </c>
      <c r="AE68" s="293">
        <f t="shared" si="37"/>
        <v>50</v>
      </c>
      <c r="AF68" s="288"/>
      <c r="AG68" s="293">
        <f t="shared" si="17"/>
        <v>4</v>
      </c>
      <c r="AH68" s="294"/>
      <c r="AI68" s="295">
        <f t="shared" si="18"/>
        <v>0</v>
      </c>
      <c r="AJ68" s="295">
        <f t="shared" si="19"/>
        <v>34.117599999999996</v>
      </c>
      <c r="AK68" s="295">
        <f t="shared" si="20"/>
        <v>0</v>
      </c>
      <c r="AL68" s="295">
        <f t="shared" si="21"/>
        <v>0</v>
      </c>
      <c r="AM68" s="295">
        <f t="shared" si="22"/>
        <v>6.5507999999999997</v>
      </c>
      <c r="AN68" s="295">
        <f t="shared" si="23"/>
        <v>0</v>
      </c>
      <c r="AO68" s="295">
        <f t="shared" si="24"/>
        <v>0</v>
      </c>
      <c r="AP68" s="295">
        <f t="shared" si="25"/>
        <v>54.277999999999999</v>
      </c>
      <c r="AQ68" s="295">
        <f t="shared" si="26"/>
        <v>0</v>
      </c>
      <c r="AR68" s="295">
        <f t="shared" si="27"/>
        <v>0</v>
      </c>
      <c r="AS68" s="294"/>
      <c r="AT68" s="295">
        <f t="shared" si="28"/>
        <v>34.117599999999996</v>
      </c>
      <c r="AU68" s="295">
        <f t="shared" si="29"/>
        <v>6.5507999999999997</v>
      </c>
      <c r="AV68" s="295">
        <f t="shared" si="30"/>
        <v>54.277999999999999</v>
      </c>
      <c r="AW68" s="294"/>
      <c r="AX68" s="338">
        <f t="shared" si="31"/>
        <v>8.6155555555555559</v>
      </c>
      <c r="AY68" s="338">
        <f t="shared" si="31"/>
        <v>8.6155555555555559</v>
      </c>
      <c r="AZ68" s="339">
        <f t="shared" si="32"/>
        <v>15973.239999999998</v>
      </c>
      <c r="BA68" s="340">
        <f t="shared" si="33"/>
        <v>130.95644444444446</v>
      </c>
      <c r="BB68" s="294"/>
      <c r="BC68" s="346">
        <f t="shared" si="34"/>
        <v>15508</v>
      </c>
      <c r="BD68" s="346">
        <f t="shared" si="35"/>
        <v>2584.6666666666665</v>
      </c>
    </row>
    <row r="69" spans="1:56" x14ac:dyDescent="0.25">
      <c r="A69" s="288">
        <v>125014</v>
      </c>
      <c r="B69" s="288" t="s">
        <v>69</v>
      </c>
      <c r="C69" s="288" t="s">
        <v>131</v>
      </c>
      <c r="D69" s="288">
        <v>2</v>
      </c>
      <c r="E69" s="289" t="s">
        <v>205</v>
      </c>
      <c r="F69" s="290">
        <v>444.3</v>
      </c>
      <c r="G69" s="288" t="s">
        <v>170</v>
      </c>
      <c r="H69" s="288">
        <v>1</v>
      </c>
      <c r="I69" s="288"/>
      <c r="J69" s="290">
        <f t="shared" ref="J69:J71" si="39">H69*F69</f>
        <v>444.3</v>
      </c>
      <c r="K69" s="290">
        <f t="shared" si="11"/>
        <v>0</v>
      </c>
      <c r="L69" s="290">
        <f t="shared" si="12"/>
        <v>444.3</v>
      </c>
      <c r="M69" s="290">
        <f t="shared" si="13"/>
        <v>0</v>
      </c>
      <c r="N69" s="290">
        <f t="shared" si="14"/>
        <v>0</v>
      </c>
      <c r="O69" s="291" t="str">
        <f t="shared" si="15"/>
        <v>Ok</v>
      </c>
      <c r="P69" s="288"/>
      <c r="Q69" s="292">
        <f>K69*'Bedarfsanalyse (Rahmenplan)'!$Q$6</f>
        <v>0</v>
      </c>
      <c r="R69" s="292">
        <f>K69*'Bedarfsanalyse (Rahmenplan)'!$R$6</f>
        <v>0</v>
      </c>
      <c r="S69" s="292">
        <f>(L69+M69)*'Bedarfsanalyse (Rahmenplan)'!$S$6</f>
        <v>8.5490558466565396</v>
      </c>
      <c r="T69" s="288"/>
      <c r="U69" s="293">
        <f t="shared" si="38"/>
        <v>22</v>
      </c>
      <c r="V69" s="293">
        <f t="shared" si="38"/>
        <v>10</v>
      </c>
      <c r="W69" s="293">
        <f t="shared" si="38"/>
        <v>30</v>
      </c>
      <c r="X69" s="288"/>
      <c r="Y69" s="293">
        <f t="shared" si="36"/>
        <v>22</v>
      </c>
      <c r="Z69" s="293">
        <f t="shared" si="36"/>
        <v>5</v>
      </c>
      <c r="AA69" s="293">
        <f t="shared" si="36"/>
        <v>35</v>
      </c>
      <c r="AB69" s="288"/>
      <c r="AC69" s="293">
        <f t="shared" si="37"/>
        <v>22</v>
      </c>
      <c r="AD69" s="293">
        <f t="shared" si="37"/>
        <v>7.5</v>
      </c>
      <c r="AE69" s="293">
        <f t="shared" si="37"/>
        <v>50</v>
      </c>
      <c r="AF69" s="288"/>
      <c r="AG69" s="293">
        <f t="shared" si="17"/>
        <v>4</v>
      </c>
      <c r="AH69" s="294"/>
      <c r="AI69" s="295">
        <f t="shared" si="18"/>
        <v>0</v>
      </c>
      <c r="AJ69" s="295">
        <f t="shared" si="19"/>
        <v>9.7745999999999995</v>
      </c>
      <c r="AK69" s="295">
        <f t="shared" si="20"/>
        <v>0</v>
      </c>
      <c r="AL69" s="295">
        <f t="shared" si="21"/>
        <v>0</v>
      </c>
      <c r="AM69" s="295">
        <f t="shared" si="22"/>
        <v>5.4443000000000001</v>
      </c>
      <c r="AN69" s="295">
        <f t="shared" si="23"/>
        <v>0</v>
      </c>
      <c r="AO69" s="295">
        <f t="shared" si="24"/>
        <v>0</v>
      </c>
      <c r="AP69" s="295">
        <f t="shared" si="25"/>
        <v>15.5505</v>
      </c>
      <c r="AQ69" s="295">
        <f t="shared" si="26"/>
        <v>0</v>
      </c>
      <c r="AR69" s="295">
        <f t="shared" si="27"/>
        <v>0</v>
      </c>
      <c r="AS69" s="294"/>
      <c r="AT69" s="295">
        <f t="shared" si="28"/>
        <v>9.7745999999999995</v>
      </c>
      <c r="AU69" s="295">
        <f t="shared" si="29"/>
        <v>5.4443000000000001</v>
      </c>
      <c r="AV69" s="295">
        <f t="shared" si="30"/>
        <v>15.5505</v>
      </c>
      <c r="AW69" s="294"/>
      <c r="AX69" s="338">
        <f t="shared" si="31"/>
        <v>2.4683333333333333</v>
      </c>
      <c r="AY69" s="338">
        <f t="shared" si="31"/>
        <v>2.4683333333333333</v>
      </c>
      <c r="AZ69" s="339">
        <f t="shared" si="32"/>
        <v>4576.29</v>
      </c>
      <c r="BA69" s="340">
        <f t="shared" si="33"/>
        <v>37.518666666666661</v>
      </c>
      <c r="BB69" s="294"/>
      <c r="BC69" s="346">
        <f t="shared" si="34"/>
        <v>4443</v>
      </c>
      <c r="BD69" s="346">
        <f t="shared" si="35"/>
        <v>740.5</v>
      </c>
    </row>
    <row r="70" spans="1:56" x14ac:dyDescent="0.25">
      <c r="A70" s="288">
        <v>131314</v>
      </c>
      <c r="B70" s="288" t="s">
        <v>69</v>
      </c>
      <c r="C70" s="288" t="s">
        <v>131</v>
      </c>
      <c r="D70" s="288">
        <v>1</v>
      </c>
      <c r="E70" s="289" t="s">
        <v>204</v>
      </c>
      <c r="F70" s="290">
        <v>746.3</v>
      </c>
      <c r="G70" s="288" t="s">
        <v>169</v>
      </c>
      <c r="H70" s="288">
        <v>1</v>
      </c>
      <c r="I70" s="288"/>
      <c r="J70" s="290">
        <f t="shared" si="39"/>
        <v>746.3</v>
      </c>
      <c r="K70" s="290">
        <f t="shared" si="11"/>
        <v>0</v>
      </c>
      <c r="L70" s="290">
        <f t="shared" si="12"/>
        <v>746.3</v>
      </c>
      <c r="M70" s="290">
        <f t="shared" si="13"/>
        <v>0</v>
      </c>
      <c r="N70" s="290">
        <f t="shared" si="14"/>
        <v>0</v>
      </c>
      <c r="O70" s="291" t="str">
        <f t="shared" si="15"/>
        <v>Ok</v>
      </c>
      <c r="P70" s="288"/>
      <c r="Q70" s="292">
        <f>K70*'Bedarfsanalyse (Rahmenplan)'!$Q$6</f>
        <v>0</v>
      </c>
      <c r="R70" s="292">
        <f>K70*'Bedarfsanalyse (Rahmenplan)'!$R$6</f>
        <v>0</v>
      </c>
      <c r="S70" s="292">
        <f>(L70+M70)*'Bedarfsanalyse (Rahmenplan)'!$S$6</f>
        <v>14.360027860364113</v>
      </c>
      <c r="T70" s="288"/>
      <c r="U70" s="293">
        <f t="shared" si="38"/>
        <v>22</v>
      </c>
      <c r="V70" s="293">
        <f t="shared" si="38"/>
        <v>10</v>
      </c>
      <c r="W70" s="293">
        <f t="shared" si="38"/>
        <v>30</v>
      </c>
      <c r="X70" s="288"/>
      <c r="Y70" s="293">
        <f t="shared" si="36"/>
        <v>22</v>
      </c>
      <c r="Z70" s="293">
        <f t="shared" si="36"/>
        <v>5</v>
      </c>
      <c r="AA70" s="293">
        <f t="shared" si="36"/>
        <v>35</v>
      </c>
      <c r="AB70" s="288"/>
      <c r="AC70" s="293">
        <f t="shared" si="37"/>
        <v>22</v>
      </c>
      <c r="AD70" s="293">
        <f t="shared" si="37"/>
        <v>7.5</v>
      </c>
      <c r="AE70" s="293">
        <f t="shared" si="37"/>
        <v>50</v>
      </c>
      <c r="AF70" s="288"/>
      <c r="AG70" s="293">
        <f t="shared" si="17"/>
        <v>4</v>
      </c>
      <c r="AH70" s="294"/>
      <c r="AI70" s="295">
        <f t="shared" si="18"/>
        <v>0</v>
      </c>
      <c r="AJ70" s="295">
        <f t="shared" si="19"/>
        <v>16.418599999999998</v>
      </c>
      <c r="AK70" s="295">
        <f t="shared" si="20"/>
        <v>0</v>
      </c>
      <c r="AL70" s="295">
        <f t="shared" si="21"/>
        <v>0</v>
      </c>
      <c r="AM70" s="295">
        <f t="shared" si="22"/>
        <v>5.7462999999999997</v>
      </c>
      <c r="AN70" s="295">
        <f t="shared" si="23"/>
        <v>0</v>
      </c>
      <c r="AO70" s="295">
        <f t="shared" si="24"/>
        <v>0</v>
      </c>
      <c r="AP70" s="295">
        <f t="shared" si="25"/>
        <v>26.1205</v>
      </c>
      <c r="AQ70" s="295">
        <f t="shared" si="26"/>
        <v>0</v>
      </c>
      <c r="AR70" s="295">
        <f t="shared" si="27"/>
        <v>0</v>
      </c>
      <c r="AS70" s="294"/>
      <c r="AT70" s="295">
        <f t="shared" si="28"/>
        <v>16.418599999999998</v>
      </c>
      <c r="AU70" s="295">
        <f t="shared" si="29"/>
        <v>5.7462999999999997</v>
      </c>
      <c r="AV70" s="295">
        <f t="shared" si="30"/>
        <v>26.1205</v>
      </c>
      <c r="AW70" s="294"/>
      <c r="AX70" s="338">
        <f t="shared" si="31"/>
        <v>4.1461111111111109</v>
      </c>
      <c r="AY70" s="338">
        <f t="shared" si="31"/>
        <v>4.1461111111111109</v>
      </c>
      <c r="AZ70" s="339">
        <f t="shared" si="32"/>
        <v>7686.8899999999994</v>
      </c>
      <c r="BA70" s="340">
        <f t="shared" si="33"/>
        <v>63.020888888888877</v>
      </c>
      <c r="BB70" s="294"/>
      <c r="BC70" s="346">
        <f t="shared" si="34"/>
        <v>7463</v>
      </c>
      <c r="BD70" s="346">
        <f t="shared" si="35"/>
        <v>1243.8333333333333</v>
      </c>
    </row>
    <row r="71" spans="1:56" x14ac:dyDescent="0.25">
      <c r="A71" s="247">
        <v>124324</v>
      </c>
      <c r="B71" s="247" t="s">
        <v>140</v>
      </c>
      <c r="C71" s="247" t="s">
        <v>131</v>
      </c>
      <c r="D71" s="247">
        <v>2</v>
      </c>
      <c r="E71" s="248" t="s">
        <v>199</v>
      </c>
      <c r="F71" s="250">
        <v>446.1</v>
      </c>
      <c r="G71" s="247" t="s">
        <v>171</v>
      </c>
      <c r="H71" s="247">
        <v>1</v>
      </c>
      <c r="J71" s="250">
        <f t="shared" si="39"/>
        <v>446.1</v>
      </c>
      <c r="K71" s="250">
        <f t="shared" si="11"/>
        <v>0</v>
      </c>
      <c r="L71" s="250">
        <f t="shared" si="12"/>
        <v>446.1</v>
      </c>
      <c r="M71" s="250">
        <f t="shared" si="13"/>
        <v>0</v>
      </c>
      <c r="N71" s="250">
        <f t="shared" si="14"/>
        <v>0</v>
      </c>
      <c r="O71" s="263" t="str">
        <f t="shared" si="15"/>
        <v>Ok</v>
      </c>
      <c r="Q71" s="265">
        <f>K71*'Bedarfsanalyse (Rahmenplan)'!$Q$6</f>
        <v>0</v>
      </c>
      <c r="R71" s="265">
        <f>K71*'Bedarfsanalyse (Rahmenplan)'!$R$6</f>
        <v>0</v>
      </c>
      <c r="S71" s="265">
        <f>(L71+M71)*'Bedarfsanalyse (Rahmenplan)'!$S$6</f>
        <v>8.5836907791885722</v>
      </c>
      <c r="U71" s="274">
        <f t="shared" si="38"/>
        <v>22</v>
      </c>
      <c r="V71" s="274">
        <f t="shared" si="38"/>
        <v>10</v>
      </c>
      <c r="W71" s="274">
        <f t="shared" si="38"/>
        <v>30</v>
      </c>
      <c r="Y71" s="274">
        <f t="shared" si="36"/>
        <v>22</v>
      </c>
      <c r="Z71" s="274">
        <f t="shared" si="36"/>
        <v>5</v>
      </c>
      <c r="AA71" s="274">
        <f t="shared" si="36"/>
        <v>35</v>
      </c>
      <c r="AC71" s="274">
        <f t="shared" si="37"/>
        <v>22</v>
      </c>
      <c r="AD71" s="274">
        <f t="shared" si="37"/>
        <v>7.5</v>
      </c>
      <c r="AE71" s="274">
        <f t="shared" si="37"/>
        <v>50</v>
      </c>
      <c r="AG71" s="274">
        <f t="shared" si="17"/>
        <v>4</v>
      </c>
      <c r="AI71" s="279">
        <f t="shared" si="18"/>
        <v>0</v>
      </c>
      <c r="AJ71" s="279">
        <f t="shared" si="19"/>
        <v>9.8142000000000014</v>
      </c>
      <c r="AK71" s="279">
        <f t="shared" si="20"/>
        <v>0</v>
      </c>
      <c r="AL71" s="279">
        <f t="shared" si="21"/>
        <v>0</v>
      </c>
      <c r="AM71" s="279">
        <f t="shared" si="22"/>
        <v>5.4461000000000004</v>
      </c>
      <c r="AN71" s="279">
        <f t="shared" si="23"/>
        <v>0</v>
      </c>
      <c r="AO71" s="279">
        <f t="shared" si="24"/>
        <v>0</v>
      </c>
      <c r="AP71" s="279">
        <f t="shared" si="25"/>
        <v>15.6135</v>
      </c>
      <c r="AQ71" s="279">
        <f t="shared" si="26"/>
        <v>0</v>
      </c>
      <c r="AR71" s="279">
        <f t="shared" si="27"/>
        <v>0</v>
      </c>
      <c r="AT71" s="279">
        <f t="shared" si="28"/>
        <v>9.8142000000000014</v>
      </c>
      <c r="AU71" s="279">
        <f t="shared" si="29"/>
        <v>5.4461000000000004</v>
      </c>
      <c r="AV71" s="279">
        <f t="shared" si="30"/>
        <v>15.6135</v>
      </c>
      <c r="AX71" s="329">
        <f t="shared" si="31"/>
        <v>2.4783333333333331</v>
      </c>
      <c r="AY71" s="329">
        <f t="shared" si="31"/>
        <v>2.4783333333333331</v>
      </c>
      <c r="AZ71" s="332">
        <f t="shared" si="32"/>
        <v>4594.83</v>
      </c>
      <c r="BA71" s="331">
        <f t="shared" si="33"/>
        <v>37.670666666666662</v>
      </c>
      <c r="BC71" s="344">
        <f t="shared" si="34"/>
        <v>4461</v>
      </c>
      <c r="BD71" s="344">
        <f t="shared" si="35"/>
        <v>743.5</v>
      </c>
    </row>
  </sheetData>
  <mergeCells count="13">
    <mergeCell ref="AX10:BA10"/>
    <mergeCell ref="BC10:BD10"/>
    <mergeCell ref="K10:O10"/>
    <mergeCell ref="U10:W10"/>
    <mergeCell ref="Y10:AA10"/>
    <mergeCell ref="AC10:AE10"/>
    <mergeCell ref="AT9:AV9"/>
    <mergeCell ref="AT10:AV10"/>
    <mergeCell ref="U9:AG9"/>
    <mergeCell ref="AI9:AR9"/>
    <mergeCell ref="AI10:AK10"/>
    <mergeCell ref="AL10:AN10"/>
    <mergeCell ref="AO10:AR10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CJ139"/>
  <sheetViews>
    <sheetView showGridLines="0" zoomScale="85" zoomScaleNormal="85" workbookViewId="0">
      <pane xSplit="4" ySplit="12" topLeftCell="BT13" activePane="bottomRight" state="frozen"/>
      <selection pane="topRight" activeCell="E1" sqref="E1"/>
      <selection pane="bottomLeft" activeCell="A9" sqref="A9"/>
      <selection pane="bottomRight" activeCell="CJ19" sqref="CJ19"/>
    </sheetView>
  </sheetViews>
  <sheetFormatPr baseColWidth="10" defaultColWidth="9.33203125" defaultRowHeight="12.75" x14ac:dyDescent="0.2"/>
  <cols>
    <col min="1" max="1" width="2.83203125" style="3" customWidth="1"/>
    <col min="2" max="2" width="31.1640625" style="1" bestFit="1" customWidth="1"/>
    <col min="3" max="3" width="6" style="2" customWidth="1"/>
    <col min="4" max="4" width="22.33203125" style="2" bestFit="1" customWidth="1"/>
    <col min="5" max="5" width="4.83203125" style="3" customWidth="1"/>
    <col min="6" max="6" width="20.83203125" style="1" customWidth="1"/>
    <col min="7" max="7" width="17.83203125" style="1" bestFit="1" customWidth="1"/>
    <col min="8" max="8" width="18.1640625" style="2" customWidth="1"/>
    <col min="9" max="10" width="19" style="1" customWidth="1"/>
    <col min="11" max="12" width="16.83203125" style="1" customWidth="1"/>
    <col min="13" max="13" width="6.1640625" style="1" customWidth="1"/>
    <col min="14" max="14" width="21.83203125" style="1" customWidth="1"/>
    <col min="15" max="15" width="22.33203125" style="1" customWidth="1"/>
    <col min="16" max="16" width="4.83203125" style="3" customWidth="1"/>
    <col min="17" max="17" width="15.83203125" style="2" customWidth="1"/>
    <col min="18" max="19" width="15.83203125" style="4" customWidth="1"/>
    <col min="20" max="20" width="4.83203125" style="3" customWidth="1"/>
    <col min="21" max="21" width="14.6640625" style="7" customWidth="1"/>
    <col min="22" max="22" width="18.6640625" style="2" customWidth="1"/>
    <col min="23" max="23" width="16.6640625" style="2" bestFit="1" customWidth="1"/>
    <col min="24" max="26" width="17.83203125" style="2" customWidth="1"/>
    <col min="27" max="27" width="4.83203125" style="5" customWidth="1"/>
    <col min="28" max="28" width="13.83203125" style="2" customWidth="1"/>
    <col min="29" max="29" width="17" style="2" bestFit="1" customWidth="1"/>
    <col min="30" max="33" width="17" style="2" customWidth="1"/>
    <col min="34" max="34" width="4.83203125" style="6" customWidth="1"/>
    <col min="35" max="35" width="13.6640625" style="2" bestFit="1" customWidth="1"/>
    <col min="36" max="36" width="17" style="2" bestFit="1" customWidth="1"/>
    <col min="37" max="39" width="17.5" style="2" customWidth="1"/>
    <col min="40" max="40" width="8.6640625" style="2" hidden="1" customWidth="1"/>
    <col min="41" max="41" width="18.83203125" style="2" hidden="1" customWidth="1"/>
    <col min="42" max="44" width="13" style="2" hidden="1" customWidth="1"/>
    <col min="45" max="45" width="17.1640625" style="2" customWidth="1"/>
    <col min="46" max="46" width="4.83203125" style="6" customWidth="1"/>
    <col min="47" max="47" width="13.6640625" style="2" bestFit="1" customWidth="1"/>
    <col min="48" max="48" width="16.83203125" style="2" bestFit="1" customWidth="1"/>
    <col min="49" max="49" width="16" style="2" bestFit="1" customWidth="1"/>
    <col min="50" max="50" width="4.83203125" style="6" customWidth="1"/>
    <col min="51" max="51" width="23.83203125" style="2" customWidth="1"/>
    <col min="52" max="52" width="25.33203125" style="2" bestFit="1" customWidth="1"/>
    <col min="53" max="53" width="23" style="2" bestFit="1" customWidth="1"/>
    <col min="54" max="54" width="24.33203125" style="2" bestFit="1" customWidth="1"/>
    <col min="55" max="55" width="23" style="2" bestFit="1" customWidth="1"/>
    <col min="56" max="56" width="21.5" style="2" bestFit="1" customWidth="1"/>
    <col min="57" max="57" width="24.5" style="2" bestFit="1" customWidth="1"/>
    <col min="58" max="58" width="25.1640625" style="2" bestFit="1" customWidth="1"/>
    <col min="59" max="60" width="23" style="2" bestFit="1" customWidth="1"/>
    <col min="61" max="63" width="23" style="2" customWidth="1"/>
    <col min="64" max="64" width="4.83203125" style="6" customWidth="1"/>
    <col min="65" max="68" width="26.33203125" style="1" customWidth="1"/>
    <col min="69" max="69" width="4.6640625" style="3" customWidth="1"/>
    <col min="70" max="70" width="19.83203125" style="1" customWidth="1"/>
    <col min="71" max="71" width="21.5" style="1" customWidth="1"/>
    <col min="72" max="72" width="4.83203125" style="3" customWidth="1"/>
    <col min="73" max="73" width="26" style="3" bestFit="1" customWidth="1"/>
    <col min="74" max="74" width="18.33203125" style="3" customWidth="1"/>
    <col min="75" max="75" width="22.6640625" style="7" bestFit="1" customWidth="1"/>
    <col min="76" max="76" width="30.33203125" style="7" bestFit="1" customWidth="1"/>
    <col min="77" max="77" width="4.83203125" style="7" customWidth="1"/>
    <col min="78" max="79" width="23.1640625" style="7" customWidth="1"/>
    <col min="80" max="80" width="4.83203125" style="7" customWidth="1"/>
    <col min="81" max="81" width="22.6640625" style="7" bestFit="1" customWidth="1"/>
    <col min="82" max="82" width="22.33203125" style="7" customWidth="1"/>
    <col min="83" max="83" width="4.83203125" style="3" customWidth="1"/>
    <col min="84" max="84" width="35" style="3" bestFit="1" customWidth="1"/>
    <col min="85" max="85" width="4" style="3" customWidth="1"/>
    <col min="86" max="86" width="30.83203125" style="3" customWidth="1"/>
    <col min="87" max="87" width="9.33203125" style="3"/>
    <col min="88" max="88" width="30.83203125" style="3" customWidth="1"/>
    <col min="89" max="95" width="9.33203125" style="3"/>
    <col min="96" max="96" width="8" style="3" customWidth="1"/>
    <col min="97" max="16384" width="9.33203125" style="3"/>
  </cols>
  <sheetData>
    <row r="2" spans="2:88" ht="16.5" customHeight="1" x14ac:dyDescent="0.2">
      <c r="B2" s="13" t="s">
        <v>7</v>
      </c>
      <c r="F2" s="1" t="s">
        <v>96</v>
      </c>
      <c r="H2" s="1"/>
      <c r="P2" s="1"/>
      <c r="BU2" s="7" t="s">
        <v>91</v>
      </c>
      <c r="BW2" s="7" t="s">
        <v>0</v>
      </c>
      <c r="BX2" s="8" t="s">
        <v>1</v>
      </c>
      <c r="BZ2" s="7" t="s">
        <v>2</v>
      </c>
      <c r="CA2" s="7" t="s">
        <v>3</v>
      </c>
      <c r="CC2" s="7" t="s">
        <v>4</v>
      </c>
      <c r="CD2" s="7" t="s">
        <v>5</v>
      </c>
    </row>
    <row r="3" spans="2:88" ht="16.5" customHeight="1" x14ac:dyDescent="0.2">
      <c r="B3" s="18" t="s">
        <v>18</v>
      </c>
      <c r="F3" s="1" t="s">
        <v>97</v>
      </c>
      <c r="J3" s="235" t="s">
        <v>116</v>
      </c>
      <c r="K3" s="236">
        <f>N12</f>
        <v>169648.6</v>
      </c>
      <c r="L3" s="235" t="s">
        <v>44</v>
      </c>
      <c r="M3" s="235"/>
      <c r="N3" s="236">
        <f>O12</f>
        <v>222233.60000000001</v>
      </c>
      <c r="BN3" s="186"/>
      <c r="BU3" s="7">
        <v>0.21</v>
      </c>
      <c r="BW3" s="10">
        <v>10300</v>
      </c>
      <c r="BX3" s="7" t="s">
        <v>6</v>
      </c>
      <c r="BZ3" s="11">
        <v>50</v>
      </c>
      <c r="CA3" s="11">
        <v>3500</v>
      </c>
      <c r="CC3" s="7">
        <v>3</v>
      </c>
      <c r="CD3" s="12">
        <v>0.6</v>
      </c>
    </row>
    <row r="4" spans="2:88" ht="16.5" customHeight="1" x14ac:dyDescent="0.2">
      <c r="B4" s="319" t="s">
        <v>89</v>
      </c>
      <c r="C4" s="319"/>
      <c r="D4" s="319"/>
      <c r="F4" s="14" t="s">
        <v>8</v>
      </c>
      <c r="J4" s="16" t="s">
        <v>86</v>
      </c>
      <c r="K4" s="190">
        <f>100/K3*I12/100</f>
        <v>0.18184293887482716</v>
      </c>
      <c r="L4" s="16" t="s">
        <v>86</v>
      </c>
      <c r="M4" s="16"/>
      <c r="N4" s="190">
        <f>100/N3*I12/100</f>
        <v>0.13881519266213568</v>
      </c>
      <c r="BU4" s="7" t="s">
        <v>11</v>
      </c>
      <c r="BW4" s="10"/>
      <c r="CD4" s="12"/>
    </row>
    <row r="5" spans="2:88" ht="16.5" customHeight="1" x14ac:dyDescent="0.2">
      <c r="B5" s="319"/>
      <c r="C5" s="319"/>
      <c r="D5" s="319"/>
      <c r="F5" s="19" t="s">
        <v>19</v>
      </c>
      <c r="G5" s="15"/>
      <c r="J5" s="16" t="s">
        <v>87</v>
      </c>
      <c r="K5" s="190">
        <f>100/K3*J12/100</f>
        <v>0.73445227369987132</v>
      </c>
      <c r="L5" s="16" t="s">
        <v>87</v>
      </c>
      <c r="M5" s="16"/>
      <c r="N5" s="190">
        <f>100/N3*J12/100</f>
        <v>0.56066589390623189</v>
      </c>
      <c r="U5" s="320" t="s">
        <v>121</v>
      </c>
      <c r="V5" s="320"/>
      <c r="W5" s="320"/>
      <c r="X5" s="320"/>
      <c r="Y5" s="320"/>
      <c r="Z5" s="302"/>
      <c r="BM5" s="16"/>
      <c r="BR5" s="4" t="s">
        <v>9</v>
      </c>
      <c r="BS5" s="17" t="s">
        <v>10</v>
      </c>
      <c r="BU5" s="21">
        <v>54</v>
      </c>
      <c r="BV5" s="7"/>
      <c r="BW5" s="7" t="s">
        <v>12</v>
      </c>
      <c r="BX5" s="7" t="s">
        <v>13</v>
      </c>
      <c r="BZ5" s="3" t="s">
        <v>14</v>
      </c>
      <c r="CA5" s="7" t="s">
        <v>15</v>
      </c>
      <c r="CC5" s="7" t="s">
        <v>16</v>
      </c>
      <c r="CD5" s="7" t="s">
        <v>17</v>
      </c>
    </row>
    <row r="6" spans="2:88" ht="19.5" customHeight="1" x14ac:dyDescent="0.2">
      <c r="B6" s="319"/>
      <c r="C6" s="319"/>
      <c r="D6" s="319"/>
      <c r="J6" s="16" t="s">
        <v>88</v>
      </c>
      <c r="K6" s="190">
        <f>100/K3*K12/100</f>
        <v>8.3704787425301477E-2</v>
      </c>
      <c r="L6" s="16" t="s">
        <v>88</v>
      </c>
      <c r="M6" s="16"/>
      <c r="N6" s="190">
        <f>100/N3*K12/100</f>
        <v>6.3898528395346155E-2</v>
      </c>
      <c r="Q6" s="1">
        <f>Q12/I12</f>
        <v>1.8724938572549223E-2</v>
      </c>
      <c r="R6" s="16">
        <f>+R12/I12</f>
        <v>8.5113357147951017E-3</v>
      </c>
      <c r="S6" s="1">
        <f>+S12/(J12+K12)</f>
        <v>1.9241629184462164E-2</v>
      </c>
      <c r="U6" s="320" t="s">
        <v>122</v>
      </c>
      <c r="V6" s="320"/>
      <c r="W6" s="320"/>
      <c r="X6" s="320"/>
      <c r="Y6" s="320"/>
      <c r="Z6" s="302"/>
      <c r="BM6" s="20"/>
      <c r="BR6" s="17">
        <v>1800</v>
      </c>
      <c r="BS6" s="17">
        <f>8760/2</f>
        <v>4380</v>
      </c>
      <c r="BU6" s="7" t="s">
        <v>90</v>
      </c>
      <c r="BV6" s="7"/>
      <c r="BW6" s="22">
        <v>0.18</v>
      </c>
      <c r="BX6" s="7">
        <v>0.5</v>
      </c>
      <c r="BZ6" s="23">
        <f>CA6*8760/2.5/1000</f>
        <v>175.2</v>
      </c>
      <c r="CA6" s="24">
        <v>50</v>
      </c>
      <c r="CC6" s="7">
        <v>2</v>
      </c>
      <c r="CD6" s="7">
        <v>3</v>
      </c>
      <c r="CH6" s="189">
        <v>2.5</v>
      </c>
      <c r="CJ6" s="189"/>
    </row>
    <row r="7" spans="2:88" ht="19.5" customHeight="1" x14ac:dyDescent="0.2">
      <c r="B7" s="319"/>
      <c r="C7" s="319"/>
      <c r="D7" s="319"/>
      <c r="F7" s="235" t="s">
        <v>117</v>
      </c>
      <c r="G7" s="236">
        <f>O12-G8</f>
        <v>199076.5</v>
      </c>
      <c r="K7" s="181"/>
      <c r="L7" s="16" t="s">
        <v>92</v>
      </c>
      <c r="M7" s="16"/>
      <c r="N7" s="190">
        <f>100/N3*L12/100</f>
        <v>0.23662038503628613</v>
      </c>
      <c r="U7" s="237"/>
      <c r="V7" s="237"/>
      <c r="W7" s="237"/>
      <c r="X7" s="237"/>
      <c r="Y7" s="237"/>
      <c r="Z7" s="237"/>
      <c r="BR7" s="3"/>
      <c r="BS7" s="3"/>
      <c r="BU7" s="7">
        <v>0.3</v>
      </c>
      <c r="CC7" s="3"/>
      <c r="CD7" s="3"/>
    </row>
    <row r="8" spans="2:88" ht="19.5" customHeight="1" x14ac:dyDescent="0.2">
      <c r="B8" s="194"/>
      <c r="C8" s="194"/>
      <c r="D8" s="194"/>
      <c r="F8" s="235" t="s">
        <v>118</v>
      </c>
      <c r="G8" s="236">
        <f>O22+O25+O30+O31+O32+O33+O65+O66+O67+O68+O69</f>
        <v>23157.1</v>
      </c>
      <c r="K8" s="181"/>
      <c r="L8" s="16"/>
      <c r="M8" s="16"/>
      <c r="N8" s="190"/>
      <c r="O8" s="211"/>
      <c r="AY8" s="314" t="s">
        <v>106</v>
      </c>
      <c r="AZ8" s="314"/>
      <c r="BA8" s="314"/>
      <c r="BB8" s="314"/>
      <c r="BC8" s="314"/>
      <c r="BD8" s="314"/>
      <c r="BE8" s="314"/>
      <c r="BF8" s="314"/>
      <c r="BG8" s="314"/>
      <c r="BH8" s="314"/>
      <c r="BI8" s="314"/>
      <c r="BJ8" s="314"/>
      <c r="BK8" s="314"/>
      <c r="BR8" s="3"/>
      <c r="BS8" s="3"/>
      <c r="BU8" s="7"/>
      <c r="CC8" s="3"/>
      <c r="CD8" s="3"/>
    </row>
    <row r="9" spans="2:88" ht="23.25" customHeight="1" x14ac:dyDescent="0.2">
      <c r="B9" s="9"/>
      <c r="N9" s="191"/>
      <c r="O9" s="191"/>
      <c r="U9" s="314" t="s">
        <v>103</v>
      </c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4"/>
      <c r="AI9" s="314"/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25"/>
      <c r="AY9" s="315" t="s">
        <v>20</v>
      </c>
      <c r="AZ9" s="315"/>
      <c r="BA9" s="315"/>
      <c r="BB9" s="316" t="s">
        <v>21</v>
      </c>
      <c r="BC9" s="316"/>
      <c r="BD9" s="316"/>
      <c r="BE9" s="317" t="s">
        <v>22</v>
      </c>
      <c r="BF9" s="317"/>
      <c r="BG9" s="317"/>
      <c r="BH9" s="317"/>
      <c r="BI9" s="318" t="s">
        <v>216</v>
      </c>
      <c r="BJ9" s="318"/>
      <c r="BK9" s="318"/>
      <c r="BM9" s="310" t="s">
        <v>119</v>
      </c>
      <c r="BN9" s="310"/>
      <c r="BO9" s="310"/>
      <c r="BP9" s="297"/>
      <c r="BR9" s="314" t="s">
        <v>23</v>
      </c>
      <c r="BS9" s="314"/>
      <c r="BU9" s="314" t="s">
        <v>24</v>
      </c>
      <c r="BV9" s="314"/>
      <c r="BW9" s="314"/>
      <c r="BX9" s="314"/>
      <c r="BY9" s="314"/>
      <c r="BZ9" s="314"/>
      <c r="CA9" s="314"/>
      <c r="CB9" s="314"/>
      <c r="CC9" s="314"/>
      <c r="CD9" s="314"/>
      <c r="CF9" s="193" t="s">
        <v>25</v>
      </c>
      <c r="CH9" s="193" t="s">
        <v>111</v>
      </c>
      <c r="CJ9" s="245" t="s">
        <v>130</v>
      </c>
    </row>
    <row r="10" spans="2:88" s="30" customFormat="1" ht="28.5" customHeight="1" x14ac:dyDescent="0.2">
      <c r="B10" s="314" t="s">
        <v>26</v>
      </c>
      <c r="C10" s="314"/>
      <c r="D10" s="314"/>
      <c r="E10" s="3"/>
      <c r="F10" s="314" t="s">
        <v>27</v>
      </c>
      <c r="G10" s="314"/>
      <c r="H10" s="314"/>
      <c r="I10" s="314"/>
      <c r="J10" s="314"/>
      <c r="K10" s="314"/>
      <c r="L10" s="314"/>
      <c r="M10" s="314"/>
      <c r="N10" s="314"/>
      <c r="O10" s="27"/>
      <c r="P10" s="27"/>
      <c r="Q10" s="193"/>
      <c r="R10" s="193"/>
      <c r="S10" s="193"/>
      <c r="T10" s="28"/>
      <c r="U10" s="308" t="s">
        <v>28</v>
      </c>
      <c r="V10" s="308"/>
      <c r="W10" s="308"/>
      <c r="X10" s="308"/>
      <c r="Y10" s="308"/>
      <c r="Z10" s="300"/>
      <c r="AB10" s="309" t="s">
        <v>52</v>
      </c>
      <c r="AC10" s="309"/>
      <c r="AD10" s="309"/>
      <c r="AE10" s="309"/>
      <c r="AF10" s="309"/>
      <c r="AG10" s="301"/>
      <c r="AI10" s="309" t="s">
        <v>30</v>
      </c>
      <c r="AJ10" s="309"/>
      <c r="AK10" s="309"/>
      <c r="AL10" s="309"/>
      <c r="AM10" s="309"/>
      <c r="AU10" s="309" t="s">
        <v>31</v>
      </c>
      <c r="AV10" s="309"/>
      <c r="AW10" s="309"/>
      <c r="AX10" s="29"/>
      <c r="AY10" s="193" t="s">
        <v>28</v>
      </c>
      <c r="AZ10" s="193" t="s">
        <v>29</v>
      </c>
      <c r="BA10" s="193" t="s">
        <v>30</v>
      </c>
      <c r="BB10" s="193" t="s">
        <v>28</v>
      </c>
      <c r="BC10" s="193" t="s">
        <v>29</v>
      </c>
      <c r="BD10" s="193" t="s">
        <v>30</v>
      </c>
      <c r="BE10" s="193" t="s">
        <v>28</v>
      </c>
      <c r="BF10" s="193" t="s">
        <v>29</v>
      </c>
      <c r="BG10" s="193" t="s">
        <v>30</v>
      </c>
      <c r="BH10" s="193" t="s">
        <v>31</v>
      </c>
      <c r="BI10" s="299" t="s">
        <v>28</v>
      </c>
      <c r="BJ10" s="299" t="s">
        <v>29</v>
      </c>
      <c r="BK10" s="299" t="s">
        <v>30</v>
      </c>
      <c r="BL10" s="29"/>
      <c r="BM10" s="311" t="s">
        <v>120</v>
      </c>
      <c r="BN10" s="311"/>
      <c r="BO10" s="311"/>
      <c r="BP10" s="298"/>
      <c r="BQ10" s="26"/>
      <c r="BR10" s="311" t="s">
        <v>120</v>
      </c>
      <c r="BS10" s="324"/>
      <c r="BU10" s="321" t="s">
        <v>32</v>
      </c>
      <c r="BV10" s="321"/>
      <c r="BW10" s="321"/>
      <c r="BX10" s="321"/>
      <c r="BY10" s="6"/>
      <c r="BZ10" s="321" t="s">
        <v>33</v>
      </c>
      <c r="CA10" s="321"/>
      <c r="CB10" s="6"/>
      <c r="CC10" s="321" t="s">
        <v>113</v>
      </c>
      <c r="CD10" s="321"/>
      <c r="CF10" s="321" t="s">
        <v>34</v>
      </c>
      <c r="CH10" s="321" t="s">
        <v>110</v>
      </c>
      <c r="CJ10" s="321"/>
    </row>
    <row r="11" spans="2:88" s="6" customFormat="1" ht="47.25" customHeight="1" x14ac:dyDescent="0.2">
      <c r="B11" s="31" t="s">
        <v>35</v>
      </c>
      <c r="C11" s="32" t="s">
        <v>36</v>
      </c>
      <c r="D11" s="32" t="s">
        <v>37</v>
      </c>
      <c r="E11" s="3"/>
      <c r="F11" s="33" t="s">
        <v>38</v>
      </c>
      <c r="G11" s="33" t="s">
        <v>39</v>
      </c>
      <c r="H11" s="33" t="s">
        <v>101</v>
      </c>
      <c r="I11" s="33" t="s">
        <v>40</v>
      </c>
      <c r="J11" s="33" t="s">
        <v>41</v>
      </c>
      <c r="K11" s="33" t="s">
        <v>42</v>
      </c>
      <c r="L11" s="33" t="s">
        <v>43</v>
      </c>
      <c r="M11" s="33"/>
      <c r="N11" s="36" t="s">
        <v>99</v>
      </c>
      <c r="O11" s="36" t="s">
        <v>100</v>
      </c>
      <c r="P11" s="34"/>
      <c r="Q11" s="33" t="s">
        <v>45</v>
      </c>
      <c r="R11" s="33" t="s">
        <v>46</v>
      </c>
      <c r="S11" s="33" t="s">
        <v>47</v>
      </c>
      <c r="T11" s="35"/>
      <c r="U11" s="37" t="s">
        <v>102</v>
      </c>
      <c r="V11" s="37" t="s">
        <v>98</v>
      </c>
      <c r="W11" s="192" t="s">
        <v>104</v>
      </c>
      <c r="X11" s="192" t="s">
        <v>50</v>
      </c>
      <c r="Y11" s="192" t="s">
        <v>51</v>
      </c>
      <c r="Z11" s="303" t="s">
        <v>215</v>
      </c>
      <c r="AA11" s="38"/>
      <c r="AB11" s="37" t="s">
        <v>105</v>
      </c>
      <c r="AC11" s="37" t="s">
        <v>98</v>
      </c>
      <c r="AD11" s="192" t="s">
        <v>104</v>
      </c>
      <c r="AE11" s="192" t="s">
        <v>50</v>
      </c>
      <c r="AF11" s="192" t="s">
        <v>51</v>
      </c>
      <c r="AG11" s="303" t="s">
        <v>215</v>
      </c>
      <c r="AH11" s="35"/>
      <c r="AI11" s="37" t="s">
        <v>105</v>
      </c>
      <c r="AJ11" s="37" t="s">
        <v>98</v>
      </c>
      <c r="AK11" s="192" t="s">
        <v>104</v>
      </c>
      <c r="AL11" s="192" t="s">
        <v>50</v>
      </c>
      <c r="AM11" s="192" t="s">
        <v>51</v>
      </c>
      <c r="AN11" s="39" t="s">
        <v>48</v>
      </c>
      <c r="AO11" s="195" t="s">
        <v>53</v>
      </c>
      <c r="AP11" s="192" t="s">
        <v>49</v>
      </c>
      <c r="AQ11" s="192" t="s">
        <v>50</v>
      </c>
      <c r="AR11" s="192" t="s">
        <v>51</v>
      </c>
      <c r="AS11" s="303" t="s">
        <v>215</v>
      </c>
      <c r="AT11" s="35"/>
      <c r="AU11" s="37" t="s">
        <v>105</v>
      </c>
      <c r="AV11" s="37" t="s">
        <v>98</v>
      </c>
      <c r="AW11" s="192" t="s">
        <v>51</v>
      </c>
      <c r="AX11" s="35"/>
      <c r="AY11" s="192" t="s">
        <v>54</v>
      </c>
      <c r="AZ11" s="192" t="s">
        <v>54</v>
      </c>
      <c r="BA11" s="192" t="s">
        <v>54</v>
      </c>
      <c r="BB11" s="192" t="s">
        <v>55</v>
      </c>
      <c r="BC11" s="192" t="s">
        <v>55</v>
      </c>
      <c r="BD11" s="192" t="s">
        <v>55</v>
      </c>
      <c r="BE11" s="192" t="s">
        <v>56</v>
      </c>
      <c r="BF11" s="192" t="s">
        <v>56</v>
      </c>
      <c r="BG11" s="192" t="s">
        <v>56</v>
      </c>
      <c r="BH11" s="192" t="s">
        <v>56</v>
      </c>
      <c r="BI11" s="303" t="s">
        <v>217</v>
      </c>
      <c r="BJ11" s="303" t="s">
        <v>217</v>
      </c>
      <c r="BK11" s="303" t="s">
        <v>217</v>
      </c>
      <c r="BL11" s="35"/>
      <c r="BM11" s="36" t="s">
        <v>57</v>
      </c>
      <c r="BN11" s="36" t="s">
        <v>58</v>
      </c>
      <c r="BO11" s="36" t="s">
        <v>59</v>
      </c>
      <c r="BP11" s="301" t="s">
        <v>218</v>
      </c>
      <c r="BQ11" s="40"/>
      <c r="BR11" s="192" t="s">
        <v>60</v>
      </c>
      <c r="BS11" s="192" t="s">
        <v>61</v>
      </c>
      <c r="BU11" s="192" t="s">
        <v>114</v>
      </c>
      <c r="BV11" s="192" t="s">
        <v>115</v>
      </c>
      <c r="BW11" s="192" t="s">
        <v>12</v>
      </c>
      <c r="BX11" s="192" t="s">
        <v>62</v>
      </c>
      <c r="BZ11" s="192" t="s">
        <v>12</v>
      </c>
      <c r="CA11" s="192" t="s">
        <v>63</v>
      </c>
      <c r="CC11" s="192" t="s">
        <v>12</v>
      </c>
      <c r="CD11" s="192" t="s">
        <v>63</v>
      </c>
      <c r="CF11" s="321"/>
      <c r="CH11" s="321"/>
      <c r="CJ11" s="321"/>
    </row>
    <row r="12" spans="2:88" s="30" customFormat="1" ht="26.25" customHeight="1" x14ac:dyDescent="0.2">
      <c r="B12" s="41" t="s">
        <v>64</v>
      </c>
      <c r="C12" s="42"/>
      <c r="D12" s="43"/>
      <c r="E12" s="3"/>
      <c r="F12" s="44">
        <f>SUM(F13+F18+F29+F37+F41+F51+F56+F74+F84)</f>
        <v>99408.4</v>
      </c>
      <c r="G12" s="44">
        <f>SUM(G13+G18+G29+G37+G41+G51+G56+G74+G84)</f>
        <v>47802.95</v>
      </c>
      <c r="H12" s="42"/>
      <c r="I12" s="44">
        <f>SUM(I13+I18+I29+I37+I41+I51+I56+I74+I84)</f>
        <v>30849.4</v>
      </c>
      <c r="J12" s="44">
        <f>SUM(J13+J18+J29+J37+J41+J51+J56+J74+J84)</f>
        <v>124598.79999999999</v>
      </c>
      <c r="K12" s="44">
        <f>SUM(K13+K18+K29+K37+K41+K51+K56+K74+K84)</f>
        <v>14200.4</v>
      </c>
      <c r="L12" s="44">
        <f>SUM(L13+L18+L29+L37+L41+L51+L56+L74+L84)</f>
        <v>52585</v>
      </c>
      <c r="M12" s="44"/>
      <c r="N12" s="44">
        <f>SUM(N13+N18+N29+N37+N41+N51+N56+N74+N84)</f>
        <v>169648.6</v>
      </c>
      <c r="O12" s="44">
        <f>SUM(O13+O18+O29+O37+O41+O51+O56+O74+O84)</f>
        <v>222233.60000000001</v>
      </c>
      <c r="P12" s="45"/>
      <c r="Q12" s="46">
        <f>SUM(Q13+Q18+Q29+Q37+Q41+Q51+Q56+Q74+Q84)</f>
        <v>577.65312000000006</v>
      </c>
      <c r="R12" s="46">
        <f>SUM(R13+R18+R29+R37+R41+R51+R56+R74+R84)</f>
        <v>262.56960000000004</v>
      </c>
      <c r="S12" s="46">
        <f>SUM(S13+S18+S29+S37+S41+S51+S56+S74+S84)</f>
        <v>2670.7227375000002</v>
      </c>
      <c r="T12" s="45"/>
      <c r="U12" s="209">
        <v>0.9</v>
      </c>
      <c r="V12" s="44">
        <f>SUM(V13+V18+V29+V37+V41+V51+V56+V74+V84)</f>
        <v>27764.46</v>
      </c>
      <c r="W12" s="217">
        <v>22</v>
      </c>
      <c r="X12" s="217">
        <v>10</v>
      </c>
      <c r="Y12" s="217">
        <v>30</v>
      </c>
      <c r="Z12" s="217">
        <v>5</v>
      </c>
      <c r="AA12" s="47"/>
      <c r="AB12" s="209">
        <v>0.85</v>
      </c>
      <c r="AC12" s="44">
        <f>SUM(AC13+AC18+AC29+AC37+AC41+AC51+AC56+AC74+AC84)</f>
        <v>105908.98</v>
      </c>
      <c r="AD12" s="217">
        <v>22</v>
      </c>
      <c r="AE12" s="218">
        <v>5</v>
      </c>
      <c r="AF12" s="217">
        <v>35</v>
      </c>
      <c r="AG12" s="217">
        <v>15</v>
      </c>
      <c r="AH12" s="45"/>
      <c r="AI12" s="209">
        <v>0.85</v>
      </c>
      <c r="AJ12" s="44">
        <f>SUM(AJ13+AJ18+AJ29+AJ37+AJ41+AJ51+AJ56+AJ74+AJ84)</f>
        <v>12070.34</v>
      </c>
      <c r="AK12" s="217">
        <v>22</v>
      </c>
      <c r="AL12" s="218">
        <v>7.5</v>
      </c>
      <c r="AM12" s="217">
        <v>50</v>
      </c>
      <c r="AN12" s="42"/>
      <c r="AO12" s="44">
        <f>SUM(AO13+AO18+AO29+AO37+AO41)</f>
        <v>0</v>
      </c>
      <c r="AP12" s="44"/>
      <c r="AQ12" s="44"/>
      <c r="AR12" s="44"/>
      <c r="AS12" s="217">
        <v>15</v>
      </c>
      <c r="AT12" s="45"/>
      <c r="AU12" s="209">
        <v>1</v>
      </c>
      <c r="AV12" s="44">
        <f>SUM(AV13+AV18+AV29+AV37+AV41+AV51+AV56+AV74+AV84)</f>
        <v>52585</v>
      </c>
      <c r="AW12" s="217">
        <v>4</v>
      </c>
      <c r="AX12" s="45"/>
      <c r="AY12" s="48">
        <f t="shared" ref="AY12:BJ12" si="0">(AY13+AY18+AY29+AY37+AY41+AY51+AY56+AY74+AY84)/1000</f>
        <v>610.81812000000002</v>
      </c>
      <c r="AZ12" s="48">
        <f t="shared" si="0"/>
        <v>5606.9588700000004</v>
      </c>
      <c r="BA12" s="48">
        <f t="shared" si="0"/>
        <v>437.96930000000003</v>
      </c>
      <c r="BB12" s="48">
        <f t="shared" si="0"/>
        <v>277.64459999999997</v>
      </c>
      <c r="BC12" s="48">
        <f t="shared" si="0"/>
        <v>1713.26595</v>
      </c>
      <c r="BD12" s="48">
        <f t="shared" si="0"/>
        <v>138.26354999999998</v>
      </c>
      <c r="BE12" s="48">
        <f t="shared" si="0"/>
        <v>832.93380000000002</v>
      </c>
      <c r="BF12" s="48">
        <f t="shared" si="0"/>
        <v>5296.4494500000001</v>
      </c>
      <c r="BG12" s="48">
        <f t="shared" si="0"/>
        <v>638.87699999999995</v>
      </c>
      <c r="BH12" s="48">
        <f t="shared" si="0"/>
        <v>210.34</v>
      </c>
      <c r="BI12" s="48">
        <f t="shared" si="0"/>
        <v>138.82229999999998</v>
      </c>
      <c r="BJ12" s="48">
        <f t="shared" si="0"/>
        <v>1588.6347000000003</v>
      </c>
      <c r="BK12" s="48">
        <f>(BK13+BK18+BK29+BK37+BK41+BK51+BK56+BK74+BK84)/1000</f>
        <v>181.05510000000001</v>
      </c>
      <c r="BL12" s="49"/>
      <c r="BM12" s="48">
        <f>(BM13+BM18+BM29+BM37+BM41+BM51+BM56+BM74+BM84)/1000</f>
        <v>4245.4862899999998</v>
      </c>
      <c r="BN12" s="48">
        <f>(BN13+BN18+BN29+BN37+BN41+BN51+BN56+BN74+BN84)/1000</f>
        <v>924.04410000000007</v>
      </c>
      <c r="BO12" s="48">
        <f>(BO13+BO18+BO29+BO37+BO41+BO51+BO56+BO74+BO84)/1000</f>
        <v>6978.6002500000004</v>
      </c>
      <c r="BP12" s="48">
        <f>(BP13+BP18+BP29+BP37+BP41+BP51+BP56+BP74+BP84)/1000</f>
        <v>1727.7426</v>
      </c>
      <c r="BQ12" s="6"/>
      <c r="BR12" s="50">
        <f>(BR13+BR18+BR29+BR37+BR41+BR51+BR56+BR74+BR84)</f>
        <v>2358.6034944444446</v>
      </c>
      <c r="BS12" s="50">
        <f>(BS13+BS18+BS29+BS37+BS41+BS51+BS56+BS74+BS84)</f>
        <v>486.11280821917808</v>
      </c>
      <c r="BU12" s="51">
        <f>(BU13+BU18+BU29+BU37+BU41+BU51+BU56+BU74+BU84)</f>
        <v>826.24628266666662</v>
      </c>
      <c r="BV12" s="51">
        <f>(BV13+BV18+BV29+BV37+BV41+BV51+BV56+BV74+BV84)</f>
        <v>826.24628266666662</v>
      </c>
      <c r="BW12" s="48">
        <f>(BW13+BW18+BW29+BW37+BW41+BW51+BW56+BW74+BW84)/1000</f>
        <v>1531.860608064</v>
      </c>
      <c r="BX12" s="50">
        <f>(BX13+BX18+BX29+BX37+BX41+BX51+BX56+BX74+BX84)</f>
        <v>12558.943496533331</v>
      </c>
      <c r="BY12" s="52"/>
      <c r="BZ12" s="48">
        <f>(BZ13+BZ18+BZ29+BZ37+BZ41+BZ51+BZ56+BZ74+BZ84)/1000</f>
        <v>0</v>
      </c>
      <c r="CA12" s="50">
        <f>(CA13+CA18+CA29+CA37+CA41+CA51+CA56+CA74+CA84)</f>
        <v>0</v>
      </c>
      <c r="CB12" s="52"/>
      <c r="CC12" s="48">
        <f>(CC13+CC18+CC29+CC37+CC41+CC51+CC56+CC74+CC84)/1000</f>
        <v>1599.9709166666667</v>
      </c>
      <c r="CD12" s="50">
        <f>(CD13+CD18+CD29+CD37+CD41+CD51+CD56+CD74+CD84)</f>
        <v>948.23876755454091</v>
      </c>
      <c r="CF12" s="48">
        <f>(CF13+CF18+CF29+CF37+CF41+CF51+CF56+CF74+CF84)/1000</f>
        <v>10110.431774730665</v>
      </c>
      <c r="CH12" s="50">
        <f>(CH13+CH18+CH29+CH37+CH41+CH51+CH56+CH74+CH84)</f>
        <v>555.58400000000006</v>
      </c>
      <c r="CJ12" s="48">
        <f>(CJ13+CJ18+CJ29+CJ37+CJ41+CJ51+CJ56+CJ74+CJ84)/1000/3</f>
        <v>848.24299999999994</v>
      </c>
    </row>
    <row r="13" spans="2:88" hidden="1" x14ac:dyDescent="0.2">
      <c r="B13" s="322" t="s">
        <v>65</v>
      </c>
      <c r="C13" s="322"/>
      <c r="D13" s="322"/>
      <c r="F13" s="53">
        <f>SUM(F14:F16)</f>
        <v>0</v>
      </c>
      <c r="G13" s="53">
        <f>SUM(G14:G16)</f>
        <v>0</v>
      </c>
      <c r="H13" s="54"/>
      <c r="I13" s="53">
        <f>SUM(I14:I16)</f>
        <v>0</v>
      </c>
      <c r="J13" s="53">
        <f>SUM(J14:J16)</f>
        <v>0</v>
      </c>
      <c r="K13" s="53">
        <f>SUM(K14:K16)</f>
        <v>0</v>
      </c>
      <c r="L13" s="53">
        <f>SUM(L14:L16)</f>
        <v>0</v>
      </c>
      <c r="M13" s="53"/>
      <c r="N13" s="53">
        <f>SUM(N14:N16)</f>
        <v>0</v>
      </c>
      <c r="O13" s="53">
        <f>SUM(O14:O16)</f>
        <v>0</v>
      </c>
      <c r="P13" s="55"/>
      <c r="Q13" s="56">
        <f>SUM(Q14:Q16)</f>
        <v>0</v>
      </c>
      <c r="R13" s="56">
        <f>SUM(R14:R16)</f>
        <v>0</v>
      </c>
      <c r="S13" s="56">
        <f>SUM(S14:S16)</f>
        <v>0</v>
      </c>
      <c r="T13" s="55"/>
      <c r="U13" s="208"/>
      <c r="V13" s="53">
        <f>SUM(V14:V16)</f>
        <v>0</v>
      </c>
      <c r="W13" s="58"/>
      <c r="X13" s="58"/>
      <c r="Y13" s="58"/>
      <c r="Z13" s="58"/>
      <c r="AA13" s="59"/>
      <c r="AB13" s="208"/>
      <c r="AC13" s="53">
        <f>SUM(AC14:AC16)</f>
        <v>0</v>
      </c>
      <c r="AD13" s="58"/>
      <c r="AE13" s="185"/>
      <c r="AF13" s="58"/>
      <c r="AG13" s="58"/>
      <c r="AH13" s="60"/>
      <c r="AI13" s="57"/>
      <c r="AJ13" s="53">
        <f>SUM(AJ14:AJ16)</f>
        <v>0</v>
      </c>
      <c r="AK13" s="58"/>
      <c r="AL13" s="58"/>
      <c r="AM13" s="58"/>
      <c r="AN13" s="57"/>
      <c r="AO13" s="53">
        <v>0</v>
      </c>
      <c r="AP13" s="58">
        <v>15</v>
      </c>
      <c r="AQ13" s="58">
        <v>5</v>
      </c>
      <c r="AR13" s="58">
        <v>20</v>
      </c>
      <c r="AS13" s="58"/>
      <c r="AT13" s="55"/>
      <c r="AU13" s="57"/>
      <c r="AV13" s="53">
        <f>SUM(AV14:AV16)</f>
        <v>0</v>
      </c>
      <c r="AW13" s="58"/>
      <c r="AX13" s="60"/>
      <c r="AY13" s="61">
        <f t="shared" ref="AY13:BH13" si="1">SUM(AY14:AY16)</f>
        <v>0</v>
      </c>
      <c r="AZ13" s="61">
        <f t="shared" si="1"/>
        <v>0</v>
      </c>
      <c r="BA13" s="61">
        <f t="shared" si="1"/>
        <v>0</v>
      </c>
      <c r="BB13" s="61">
        <f t="shared" si="1"/>
        <v>0</v>
      </c>
      <c r="BC13" s="61">
        <f t="shared" si="1"/>
        <v>0</v>
      </c>
      <c r="BD13" s="61">
        <f t="shared" si="1"/>
        <v>0</v>
      </c>
      <c r="BE13" s="61">
        <f t="shared" si="1"/>
        <v>0</v>
      </c>
      <c r="BF13" s="61">
        <f t="shared" si="1"/>
        <v>0</v>
      </c>
      <c r="BG13" s="61">
        <f t="shared" si="1"/>
        <v>0</v>
      </c>
      <c r="BH13" s="61">
        <f t="shared" si="1"/>
        <v>0</v>
      </c>
      <c r="BI13" s="61"/>
      <c r="BJ13" s="61"/>
      <c r="BK13" s="61"/>
      <c r="BL13" s="55"/>
      <c r="BM13" s="61">
        <f>SUM(BM14:BM16)</f>
        <v>0</v>
      </c>
      <c r="BN13" s="61">
        <f>SUM(BN14:BN16)</f>
        <v>0</v>
      </c>
      <c r="BO13" s="61">
        <f>SUM(BO14:BO16)</f>
        <v>0</v>
      </c>
      <c r="BP13" s="61"/>
      <c r="BR13" s="62">
        <f>SUM(BR14:BR16)</f>
        <v>0</v>
      </c>
      <c r="BS13" s="62">
        <f>SUM(BS14:BS16)</f>
        <v>0</v>
      </c>
      <c r="BU13" s="58">
        <f>SUM(BU14:BU16)</f>
        <v>0</v>
      </c>
      <c r="BV13" s="58">
        <f>SUM(BV14:BV16)</f>
        <v>0</v>
      </c>
      <c r="BW13" s="61">
        <f>SUM(BW14:BW16)</f>
        <v>0</v>
      </c>
      <c r="BX13" s="62">
        <f>SUM(BX14:BX16)</f>
        <v>0</v>
      </c>
      <c r="BY13" s="63"/>
      <c r="BZ13" s="61">
        <f>SUM(BZ14:BZ16)</f>
        <v>0</v>
      </c>
      <c r="CA13" s="62">
        <f>SUM(CA14:CA16)</f>
        <v>0</v>
      </c>
      <c r="CB13" s="63"/>
      <c r="CC13" s="61">
        <f>SUM(CC14:CC16)</f>
        <v>0</v>
      </c>
      <c r="CD13" s="62">
        <f>SUM(CD14:CD16)</f>
        <v>0</v>
      </c>
      <c r="CF13" s="61">
        <f>SUM(CF14:CF16)</f>
        <v>0</v>
      </c>
      <c r="CH13" s="62">
        <f>SUM(CH14:CH16)</f>
        <v>0</v>
      </c>
      <c r="CJ13" s="62"/>
    </row>
    <row r="14" spans="2:88" ht="12.75" hidden="1" customHeight="1" x14ac:dyDescent="0.2">
      <c r="B14" s="325" t="s">
        <v>66</v>
      </c>
      <c r="C14" s="325"/>
      <c r="D14" s="325"/>
      <c r="F14" s="326" t="s">
        <v>112</v>
      </c>
      <c r="G14" s="326"/>
      <c r="H14" s="326"/>
      <c r="I14" s="326"/>
      <c r="J14" s="326"/>
      <c r="K14" s="326"/>
      <c r="L14" s="326"/>
      <c r="M14" s="326"/>
      <c r="N14" s="326"/>
      <c r="O14" s="326"/>
      <c r="P14" s="70"/>
      <c r="Q14" s="71"/>
      <c r="R14" s="71"/>
      <c r="S14" s="71"/>
      <c r="T14" s="70"/>
      <c r="U14" s="71"/>
      <c r="V14" s="68"/>
      <c r="W14" s="73"/>
      <c r="X14" s="73"/>
      <c r="Y14" s="73"/>
      <c r="Z14" s="73"/>
      <c r="AA14" s="74"/>
      <c r="AB14" s="72"/>
      <c r="AC14" s="68"/>
      <c r="AD14" s="73"/>
      <c r="AE14" s="73"/>
      <c r="AF14" s="73"/>
      <c r="AG14" s="73"/>
      <c r="AH14" s="75"/>
      <c r="AI14" s="72"/>
      <c r="AJ14" s="68"/>
      <c r="AK14" s="73"/>
      <c r="AL14" s="73"/>
      <c r="AM14" s="73"/>
      <c r="AN14" s="76"/>
      <c r="AO14" s="68"/>
      <c r="AP14" s="73"/>
      <c r="AQ14" s="73"/>
      <c r="AR14" s="73"/>
      <c r="AS14" s="73"/>
      <c r="AT14" s="75"/>
      <c r="AU14" s="72"/>
      <c r="AV14" s="68"/>
      <c r="AW14" s="73"/>
      <c r="AX14" s="75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8"/>
      <c r="BM14" s="79"/>
      <c r="BN14" s="79"/>
      <c r="BO14" s="79"/>
      <c r="BP14" s="79"/>
      <c r="BR14" s="80"/>
      <c r="BS14" s="80"/>
      <c r="BU14" s="81"/>
      <c r="BV14" s="81"/>
      <c r="BW14" s="79"/>
      <c r="BX14" s="80"/>
      <c r="BY14" s="82"/>
      <c r="BZ14" s="79"/>
      <c r="CA14" s="80"/>
      <c r="CB14" s="82"/>
      <c r="CC14" s="79"/>
      <c r="CD14" s="80"/>
      <c r="CF14" s="79"/>
      <c r="CH14" s="80"/>
      <c r="CJ14" s="80"/>
    </row>
    <row r="15" spans="2:88" ht="12.75" hidden="1" customHeight="1" x14ac:dyDescent="0.2">
      <c r="B15" s="325"/>
      <c r="C15" s="325"/>
      <c r="D15" s="325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70"/>
      <c r="Q15" s="71"/>
      <c r="R15" s="71"/>
      <c r="S15" s="71"/>
      <c r="T15" s="70"/>
      <c r="U15" s="71"/>
      <c r="V15" s="68"/>
      <c r="W15" s="73"/>
      <c r="X15" s="73"/>
      <c r="Y15" s="73"/>
      <c r="Z15" s="73"/>
      <c r="AA15" s="74"/>
      <c r="AB15" s="72"/>
      <c r="AC15" s="68"/>
      <c r="AD15" s="73"/>
      <c r="AE15" s="73"/>
      <c r="AF15" s="73"/>
      <c r="AG15" s="73"/>
      <c r="AH15" s="75"/>
      <c r="AI15" s="72"/>
      <c r="AJ15" s="68"/>
      <c r="AK15" s="73"/>
      <c r="AL15" s="73"/>
      <c r="AM15" s="73"/>
      <c r="AN15" s="83"/>
      <c r="AO15" s="68"/>
      <c r="AP15" s="73"/>
      <c r="AQ15" s="73"/>
      <c r="AR15" s="73"/>
      <c r="AS15" s="73"/>
      <c r="AT15" s="78"/>
      <c r="AU15" s="72"/>
      <c r="AV15" s="68"/>
      <c r="AW15" s="73"/>
      <c r="AX15" s="75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8"/>
      <c r="BM15" s="79"/>
      <c r="BN15" s="79"/>
      <c r="BO15" s="79"/>
      <c r="BP15" s="79"/>
      <c r="BR15" s="80"/>
      <c r="BS15" s="80"/>
      <c r="BU15" s="81"/>
      <c r="BV15" s="81"/>
      <c r="BW15" s="79"/>
      <c r="BX15" s="80"/>
      <c r="BY15" s="82"/>
      <c r="BZ15" s="79"/>
      <c r="CA15" s="80"/>
      <c r="CB15" s="82"/>
      <c r="CC15" s="79"/>
      <c r="CD15" s="80"/>
      <c r="CF15" s="79"/>
      <c r="CH15" s="80"/>
      <c r="CJ15" s="80"/>
    </row>
    <row r="16" spans="2:88" ht="12.75" hidden="1" customHeight="1" x14ac:dyDescent="0.2">
      <c r="B16" s="325"/>
      <c r="C16" s="325"/>
      <c r="D16" s="325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70"/>
      <c r="Q16" s="71"/>
      <c r="R16" s="71"/>
      <c r="S16" s="71"/>
      <c r="T16" s="70"/>
      <c r="U16" s="71"/>
      <c r="V16" s="68"/>
      <c r="W16" s="73"/>
      <c r="X16" s="73"/>
      <c r="Y16" s="73"/>
      <c r="Z16" s="73"/>
      <c r="AA16" s="74"/>
      <c r="AB16" s="72"/>
      <c r="AC16" s="68"/>
      <c r="AD16" s="73"/>
      <c r="AE16" s="73"/>
      <c r="AF16" s="73"/>
      <c r="AG16" s="73"/>
      <c r="AH16" s="75"/>
      <c r="AI16" s="72"/>
      <c r="AJ16" s="68"/>
      <c r="AK16" s="73"/>
      <c r="AL16" s="73"/>
      <c r="AM16" s="73"/>
      <c r="AN16" s="76"/>
      <c r="AO16" s="67"/>
      <c r="AP16" s="73"/>
      <c r="AQ16" s="73"/>
      <c r="AR16" s="73"/>
      <c r="AS16" s="73"/>
      <c r="AT16" s="70"/>
      <c r="AU16" s="72"/>
      <c r="AV16" s="68"/>
      <c r="AW16" s="73"/>
      <c r="AX16" s="75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0"/>
      <c r="BM16" s="79"/>
      <c r="BN16" s="79"/>
      <c r="BO16" s="79"/>
      <c r="BP16" s="79"/>
      <c r="BR16" s="80"/>
      <c r="BS16" s="80"/>
      <c r="BU16" s="81"/>
      <c r="BV16" s="81"/>
      <c r="BW16" s="79"/>
      <c r="BX16" s="80"/>
      <c r="BY16" s="82"/>
      <c r="BZ16" s="79"/>
      <c r="CA16" s="80"/>
      <c r="CB16" s="82"/>
      <c r="CC16" s="79"/>
      <c r="CD16" s="80"/>
      <c r="CF16" s="79"/>
      <c r="CH16" s="80"/>
      <c r="CJ16" s="80"/>
    </row>
    <row r="17" spans="2:88" x14ac:dyDescent="0.2">
      <c r="B17" s="85"/>
      <c r="C17" s="86"/>
      <c r="D17" s="6"/>
      <c r="F17" s="3"/>
      <c r="G17" s="3"/>
      <c r="H17" s="40"/>
      <c r="I17" s="84"/>
      <c r="J17" s="70"/>
      <c r="K17" s="70"/>
      <c r="L17" s="70"/>
      <c r="M17" s="70"/>
      <c r="N17" s="84"/>
      <c r="O17" s="84"/>
      <c r="P17" s="84"/>
      <c r="Q17" s="87"/>
      <c r="R17" s="88"/>
      <c r="S17" s="88"/>
      <c r="T17" s="84"/>
      <c r="U17" s="178"/>
      <c r="V17" s="84"/>
      <c r="W17" s="75"/>
      <c r="X17" s="75"/>
      <c r="Y17" s="75"/>
      <c r="Z17" s="75"/>
      <c r="AA17" s="74"/>
      <c r="AB17" s="89"/>
      <c r="AC17" s="84"/>
      <c r="AD17" s="78"/>
      <c r="AE17" s="78"/>
      <c r="AF17" s="78"/>
      <c r="AG17" s="78"/>
      <c r="AH17" s="78"/>
      <c r="AI17" s="89"/>
      <c r="AJ17" s="84"/>
      <c r="AK17" s="78"/>
      <c r="AL17" s="78"/>
      <c r="AM17" s="78"/>
      <c r="AN17" s="89"/>
      <c r="AO17" s="84"/>
      <c r="AP17" s="78"/>
      <c r="AQ17" s="78"/>
      <c r="AR17" s="78"/>
      <c r="AS17" s="78"/>
      <c r="AT17" s="78"/>
      <c r="AU17" s="89"/>
      <c r="AV17" s="84"/>
      <c r="AW17" s="78"/>
      <c r="AX17" s="78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78"/>
      <c r="BM17" s="91"/>
      <c r="BN17" s="91"/>
      <c r="BO17" s="91"/>
      <c r="BP17" s="91"/>
      <c r="BR17" s="82"/>
      <c r="BS17" s="82"/>
      <c r="BU17" s="92"/>
      <c r="BV17" s="92"/>
      <c r="BW17" s="91"/>
      <c r="BX17" s="82"/>
      <c r="BY17" s="82"/>
      <c r="BZ17" s="91"/>
      <c r="CA17" s="82"/>
      <c r="CB17" s="82"/>
      <c r="CC17" s="91"/>
      <c r="CD17" s="82"/>
      <c r="CF17" s="91"/>
      <c r="CH17" s="228"/>
      <c r="CJ17" s="228"/>
    </row>
    <row r="18" spans="2:88" s="93" customFormat="1" x14ac:dyDescent="0.2">
      <c r="B18" s="323" t="s">
        <v>67</v>
      </c>
      <c r="C18" s="323"/>
      <c r="D18" s="323"/>
      <c r="F18" s="94">
        <f t="shared" ref="F18:N18" si="2">SUM(F19:F25)</f>
        <v>13226.5</v>
      </c>
      <c r="G18" s="94">
        <f>SUM(G19:G25)</f>
        <v>5965.9</v>
      </c>
      <c r="H18" s="95"/>
      <c r="I18" s="94">
        <f t="shared" si="2"/>
        <v>0</v>
      </c>
      <c r="J18" s="94">
        <f t="shared" si="2"/>
        <v>17583.400000000001</v>
      </c>
      <c r="K18" s="94">
        <f t="shared" si="2"/>
        <v>0</v>
      </c>
      <c r="L18" s="94">
        <f>SUM(L19:L27)</f>
        <v>5263</v>
      </c>
      <c r="M18" s="94"/>
      <c r="N18" s="94">
        <f t="shared" si="2"/>
        <v>17583.400000000001</v>
      </c>
      <c r="O18" s="94">
        <f>SUM(O19:O27)</f>
        <v>22846.400000000001</v>
      </c>
      <c r="P18" s="55"/>
      <c r="Q18" s="96">
        <f>SUM(Q19:Q25)</f>
        <v>0</v>
      </c>
      <c r="R18" s="96">
        <f>SUM(R19:R25)</f>
        <v>0</v>
      </c>
      <c r="S18" s="96">
        <f>SUM(S19:S25)</f>
        <v>373.64724999999999</v>
      </c>
      <c r="T18" s="55"/>
      <c r="U18" s="94"/>
      <c r="V18" s="94">
        <f>SUM(V19:V27)</f>
        <v>0</v>
      </c>
      <c r="W18" s="98"/>
      <c r="X18" s="98"/>
      <c r="Y18" s="98"/>
      <c r="Z18" s="98"/>
      <c r="AA18" s="59"/>
      <c r="AB18" s="94"/>
      <c r="AC18" s="94">
        <f>SUM(AC19:AC27)</f>
        <v>14945.890000000001</v>
      </c>
      <c r="AD18" s="98"/>
      <c r="AE18" s="98"/>
      <c r="AF18" s="98"/>
      <c r="AG18" s="98"/>
      <c r="AH18" s="60"/>
      <c r="AI18" s="97"/>
      <c r="AJ18" s="94">
        <f>SUM(AJ19:AJ27)</f>
        <v>0</v>
      </c>
      <c r="AK18" s="98"/>
      <c r="AL18" s="98"/>
      <c r="AM18" s="98"/>
      <c r="AN18" s="97"/>
      <c r="AO18" s="94">
        <v>0</v>
      </c>
      <c r="AP18" s="98">
        <f t="shared" ref="AP18:AR25" si="3">AP$13</f>
        <v>15</v>
      </c>
      <c r="AQ18" s="98">
        <f t="shared" si="3"/>
        <v>5</v>
      </c>
      <c r="AR18" s="98">
        <f t="shared" si="3"/>
        <v>20</v>
      </c>
      <c r="AS18" s="98"/>
      <c r="AT18" s="99"/>
      <c r="AU18" s="97"/>
      <c r="AV18" s="94">
        <f>SUM(AV19:AV27)</f>
        <v>5263</v>
      </c>
      <c r="AW18" s="98"/>
      <c r="AX18" s="60"/>
      <c r="AY18" s="100">
        <f>SUM(AY19:AY27)</f>
        <v>0</v>
      </c>
      <c r="AZ18" s="100">
        <f t="shared" ref="AZ18:BG18" si="4">SUM(AZ19:AZ27)</f>
        <v>631621.4</v>
      </c>
      <c r="BA18" s="100">
        <f t="shared" si="4"/>
        <v>0</v>
      </c>
      <c r="BB18" s="100">
        <f t="shared" si="4"/>
        <v>0</v>
      </c>
      <c r="BC18" s="100">
        <f t="shared" si="4"/>
        <v>74729.45</v>
      </c>
      <c r="BD18" s="100">
        <f t="shared" si="4"/>
        <v>0</v>
      </c>
      <c r="BE18" s="100">
        <f t="shared" si="4"/>
        <v>0</v>
      </c>
      <c r="BF18" s="100">
        <f t="shared" si="4"/>
        <v>523106.15</v>
      </c>
      <c r="BG18" s="100">
        <f t="shared" si="4"/>
        <v>0</v>
      </c>
      <c r="BH18" s="100">
        <f>SUM(BH19:BH27)</f>
        <v>21052</v>
      </c>
      <c r="BI18" s="100">
        <f t="shared" ref="BI18:BK18" si="5">SUM(BI19:BI27)</f>
        <v>0</v>
      </c>
      <c r="BJ18" s="100">
        <f t="shared" si="5"/>
        <v>224188.35</v>
      </c>
      <c r="BK18" s="100">
        <f t="shared" si="5"/>
        <v>0</v>
      </c>
      <c r="BL18" s="99"/>
      <c r="BM18" s="100">
        <f>SUM(BM19:BM27)</f>
        <v>631621.4</v>
      </c>
      <c r="BN18" s="100">
        <f>SUM(BN19:BN27)</f>
        <v>74729.45</v>
      </c>
      <c r="BO18" s="100">
        <f t="shared" ref="BO18:BP18" si="6">SUM(BO19:BO27)</f>
        <v>544158.15</v>
      </c>
      <c r="BP18" s="100">
        <f t="shared" si="6"/>
        <v>224188.35</v>
      </c>
      <c r="BR18" s="101">
        <f>SUM(BR19:BR27)</f>
        <v>350.90077777777782</v>
      </c>
      <c r="BS18" s="101">
        <f>SUM(BS19:BS27)</f>
        <v>17.061518264840181</v>
      </c>
      <c r="BU18" s="98">
        <f>SUM(BU19:BU27)</f>
        <v>97.685555555555553</v>
      </c>
      <c r="BV18" s="98">
        <f>SUM(BV19:BV27)</f>
        <v>97.685555555555553</v>
      </c>
      <c r="BW18" s="100">
        <f>SUM(BW19:BW27)</f>
        <v>181109.02</v>
      </c>
      <c r="BX18" s="101">
        <f>SUM(BX19:BX27)</f>
        <v>1484.8204444444441</v>
      </c>
      <c r="BY18" s="63"/>
      <c r="BZ18" s="100">
        <f>SUM(BZ19:BZ27)</f>
        <v>0</v>
      </c>
      <c r="CA18" s="101">
        <f>SUM(CA19:CA27)</f>
        <v>0</v>
      </c>
      <c r="CB18" s="63"/>
      <c r="CC18" s="100">
        <f>SUM(CC19:CC27)</f>
        <v>225486.35666666663</v>
      </c>
      <c r="CD18" s="101">
        <f>SUM(CD19:CD27)</f>
        <v>122.65409868087264</v>
      </c>
      <c r="CF18" s="100">
        <f>SUM(CF19:CF27)</f>
        <v>950753.52666666661</v>
      </c>
      <c r="CH18" s="101">
        <f>SUM(CH19:CH27)</f>
        <v>57.116</v>
      </c>
      <c r="CJ18" s="101">
        <f>N18*15</f>
        <v>263751</v>
      </c>
    </row>
    <row r="19" spans="2:88" x14ac:dyDescent="0.2">
      <c r="B19" s="102"/>
      <c r="C19" s="103">
        <v>1</v>
      </c>
      <c r="D19" s="104"/>
      <c r="F19" s="105">
        <v>1574.0818652676041</v>
      </c>
      <c r="G19" s="105">
        <v>710</v>
      </c>
      <c r="H19" s="106">
        <v>7</v>
      </c>
      <c r="I19" s="105">
        <v>0</v>
      </c>
      <c r="J19" s="105">
        <v>4970</v>
      </c>
      <c r="K19" s="105">
        <v>0</v>
      </c>
      <c r="L19" s="105">
        <v>0</v>
      </c>
      <c r="M19" s="105"/>
      <c r="N19" s="105">
        <v>4970</v>
      </c>
      <c r="O19" s="107">
        <v>4970</v>
      </c>
      <c r="P19" s="84"/>
      <c r="Q19" s="200">
        <f t="shared" ref="Q19:Q27" si="7">R19*2.2</f>
        <v>0</v>
      </c>
      <c r="R19" s="200">
        <f t="shared" ref="R19:S27" si="8">V19/110</f>
        <v>0</v>
      </c>
      <c r="S19" s="200">
        <f t="shared" ref="S19:S25" si="9">(AC19*0.675/27)+(AJ19*0.675/40)</f>
        <v>105.61250000000001</v>
      </c>
      <c r="T19" s="84"/>
      <c r="U19" s="203">
        <f>$U$12</f>
        <v>0.9</v>
      </c>
      <c r="V19" s="107">
        <f>U19*I19</f>
        <v>0</v>
      </c>
      <c r="W19" s="108">
        <f>$W$12</f>
        <v>22</v>
      </c>
      <c r="X19" s="108">
        <f>X$12</f>
        <v>10</v>
      </c>
      <c r="Y19" s="108">
        <f>Y$12</f>
        <v>30</v>
      </c>
      <c r="Z19" s="108">
        <f>Z$12</f>
        <v>5</v>
      </c>
      <c r="AA19" s="74"/>
      <c r="AB19" s="203">
        <f>$AB$12</f>
        <v>0.85</v>
      </c>
      <c r="AC19" s="107">
        <f>AB19*J19</f>
        <v>4224.5</v>
      </c>
      <c r="AD19" s="108">
        <f>$AD$12</f>
        <v>22</v>
      </c>
      <c r="AE19" s="108">
        <f>AE$12</f>
        <v>5</v>
      </c>
      <c r="AF19" s="108">
        <f>AF$12</f>
        <v>35</v>
      </c>
      <c r="AG19" s="108">
        <f>$AG$12</f>
        <v>15</v>
      </c>
      <c r="AH19" s="75"/>
      <c r="AI19" s="203">
        <f>AI$12</f>
        <v>0.85</v>
      </c>
      <c r="AJ19" s="107">
        <f>AI19*K19</f>
        <v>0</v>
      </c>
      <c r="AK19" s="108">
        <f>$AK$12</f>
        <v>22</v>
      </c>
      <c r="AL19" s="219">
        <f>AL$12</f>
        <v>7.5</v>
      </c>
      <c r="AM19" s="108">
        <f>AM$12</f>
        <v>50</v>
      </c>
      <c r="AN19" s="109">
        <v>0</v>
      </c>
      <c r="AO19" s="107">
        <v>0</v>
      </c>
      <c r="AP19" s="108">
        <f t="shared" si="3"/>
        <v>15</v>
      </c>
      <c r="AQ19" s="108">
        <f t="shared" si="3"/>
        <v>5</v>
      </c>
      <c r="AR19" s="108">
        <f t="shared" si="3"/>
        <v>20</v>
      </c>
      <c r="AS19" s="108">
        <f>AS$12</f>
        <v>15</v>
      </c>
      <c r="AT19" s="78"/>
      <c r="AU19" s="203">
        <f t="shared" ref="AU19:AU27" si="10">AU$12</f>
        <v>1</v>
      </c>
      <c r="AV19" s="107">
        <f>AU19*L19</f>
        <v>0</v>
      </c>
      <c r="AW19" s="108">
        <f>AW$12</f>
        <v>4</v>
      </c>
      <c r="AX19" s="75"/>
      <c r="AY19" s="110">
        <f t="shared" ref="AY19:AY27" si="11">V19*W19</f>
        <v>0</v>
      </c>
      <c r="AZ19" s="110">
        <f t="shared" ref="AZ19:AZ27" si="12">AC19*AD19</f>
        <v>92939</v>
      </c>
      <c r="BA19" s="110">
        <f t="shared" ref="BA19:BA27" si="13">AJ19*AK19</f>
        <v>0</v>
      </c>
      <c r="BB19" s="110">
        <f t="shared" ref="BB19:BB27" si="14">V19*X19</f>
        <v>0</v>
      </c>
      <c r="BC19" s="110">
        <f t="shared" ref="BC19:BC27" si="15">AC19*AE19</f>
        <v>21122.5</v>
      </c>
      <c r="BD19" s="110">
        <f t="shared" ref="BD19:BD27" si="16">AJ19*AL19</f>
        <v>0</v>
      </c>
      <c r="BE19" s="110">
        <f t="shared" ref="BE19:BE27" si="17">V19*Y19</f>
        <v>0</v>
      </c>
      <c r="BF19" s="110">
        <f t="shared" ref="BF19:BF27" si="18">AC19*AF19</f>
        <v>147857.5</v>
      </c>
      <c r="BG19" s="110">
        <f t="shared" ref="BG19:BG27" si="19">+AJ19*AM19</f>
        <v>0</v>
      </c>
      <c r="BH19" s="110">
        <f t="shared" ref="BH19:BH27" si="20">+AV19*AW19</f>
        <v>0</v>
      </c>
      <c r="BI19" s="110">
        <f>Z19*V19</f>
        <v>0</v>
      </c>
      <c r="BJ19" s="110">
        <f>+AG19*AC19</f>
        <v>63367.5</v>
      </c>
      <c r="BK19" s="110">
        <f>+AS19*AJ19</f>
        <v>0</v>
      </c>
      <c r="BL19" s="78"/>
      <c r="BM19" s="111">
        <f t="shared" ref="BM19:BM27" si="21">AY19+AZ19+BA19</f>
        <v>92939</v>
      </c>
      <c r="BN19" s="111">
        <f t="shared" ref="BN19:BN27" si="22">+BB19+BC19+BD19</f>
        <v>21122.5</v>
      </c>
      <c r="BO19" s="111">
        <f>+BE19+BF19+BG19+BH19</f>
        <v>147857.5</v>
      </c>
      <c r="BP19" s="111">
        <f>SUM(BI19:BK19)</f>
        <v>63367.5</v>
      </c>
      <c r="BR19" s="112">
        <f>BM19/$BR$6</f>
        <v>51.632777777777775</v>
      </c>
      <c r="BS19" s="112">
        <f>(BB19+BC19+BD19)/$BS$6</f>
        <v>4.8224885844748862</v>
      </c>
      <c r="BU19" s="113">
        <f>($BU$3*$R19)+(($J19+$K19)/$BU$5*$BU$7)</f>
        <v>27.611111111111111</v>
      </c>
      <c r="BV19" s="113">
        <f>($BU$3*$R19)+(($J19+$K19)/$BU$5*$BU$7)</f>
        <v>27.611111111111111</v>
      </c>
      <c r="BW19" s="111">
        <f>BV19*$BW$3*$BW$6</f>
        <v>51191</v>
      </c>
      <c r="BX19" s="112">
        <f t="shared" ref="BX19:BX27" si="23">(BU19*0.3*50+BU19*0.7*22)*$BX$6</f>
        <v>419.68888888888887</v>
      </c>
      <c r="BY19" s="82"/>
      <c r="BZ19" s="111"/>
      <c r="CA19" s="112"/>
      <c r="CB19" s="82"/>
      <c r="CC19" s="111">
        <f t="shared" ref="CC19:CC27" si="24">BM19/$CC$3+(BN19*(1-$CD$3)/$CC$6)</f>
        <v>35204.166666666672</v>
      </c>
      <c r="CD19" s="112">
        <f t="shared" ref="CD19:CD27" si="25">BR19/$CD$6+BS19/$CD$6</f>
        <v>18.818422120750885</v>
      </c>
      <c r="CF19" s="111">
        <f>BE19+BF19+BG19+BH19+BW19+BZ19+CC19</f>
        <v>234252.66666666669</v>
      </c>
      <c r="CH19" s="229">
        <f t="shared" ref="CH19:CH25" si="26">$CH$6*O19/1000</f>
        <v>12.425000000000001</v>
      </c>
      <c r="CJ19" s="111">
        <f>N19*15</f>
        <v>74550</v>
      </c>
    </row>
    <row r="20" spans="2:88" x14ac:dyDescent="0.2">
      <c r="B20" s="102"/>
      <c r="C20" s="103">
        <v>2</v>
      </c>
      <c r="D20" s="104"/>
      <c r="F20" s="105">
        <v>3730.130617341893</v>
      </c>
      <c r="G20" s="105">
        <v>1682.5</v>
      </c>
      <c r="H20" s="106">
        <v>4</v>
      </c>
      <c r="I20" s="105">
        <v>0</v>
      </c>
      <c r="J20" s="105">
        <v>6730</v>
      </c>
      <c r="K20" s="105">
        <v>0</v>
      </c>
      <c r="L20" s="105">
        <v>0</v>
      </c>
      <c r="M20" s="105"/>
      <c r="N20" s="105">
        <v>6730</v>
      </c>
      <c r="O20" s="107">
        <v>6730</v>
      </c>
      <c r="P20" s="84"/>
      <c r="Q20" s="200">
        <f t="shared" si="7"/>
        <v>0</v>
      </c>
      <c r="R20" s="200">
        <f t="shared" si="8"/>
        <v>0</v>
      </c>
      <c r="S20" s="200">
        <f t="shared" si="9"/>
        <v>143.01250000000002</v>
      </c>
      <c r="T20" s="84"/>
      <c r="U20" s="203">
        <f t="shared" ref="U20:U27" si="27">$U$12</f>
        <v>0.9</v>
      </c>
      <c r="V20" s="107">
        <f t="shared" ref="V20:V27" si="28">U20*I20</f>
        <v>0</v>
      </c>
      <c r="W20" s="108">
        <f t="shared" ref="W20:W27" si="29">$W$12</f>
        <v>22</v>
      </c>
      <c r="X20" s="108">
        <f t="shared" ref="X20:Z27" si="30">X$12</f>
        <v>10</v>
      </c>
      <c r="Y20" s="108">
        <f t="shared" si="30"/>
        <v>30</v>
      </c>
      <c r="Z20" s="108">
        <f t="shared" si="30"/>
        <v>5</v>
      </c>
      <c r="AA20" s="74"/>
      <c r="AB20" s="203">
        <f t="shared" ref="AB20:AB27" si="31">$AB$12</f>
        <v>0.85</v>
      </c>
      <c r="AC20" s="107">
        <f t="shared" ref="AC20:AC27" si="32">AB20*J20</f>
        <v>5720.5</v>
      </c>
      <c r="AD20" s="108">
        <f t="shared" ref="AD20:AD21" si="33">$AD$12</f>
        <v>22</v>
      </c>
      <c r="AE20" s="108">
        <f t="shared" ref="AE20:AF27" si="34">AE$12</f>
        <v>5</v>
      </c>
      <c r="AF20" s="108">
        <f t="shared" si="34"/>
        <v>35</v>
      </c>
      <c r="AG20" s="108">
        <f t="shared" ref="AG20:AG27" si="35">$AG$12</f>
        <v>15</v>
      </c>
      <c r="AH20" s="75"/>
      <c r="AI20" s="203">
        <f t="shared" ref="AI20:AI27" si="36">$AI$12</f>
        <v>0.85</v>
      </c>
      <c r="AJ20" s="107">
        <f t="shared" ref="AJ20:AJ27" si="37">AI20*K20</f>
        <v>0</v>
      </c>
      <c r="AK20" s="108">
        <f t="shared" ref="AK20:AK21" si="38">$AK$12</f>
        <v>22</v>
      </c>
      <c r="AL20" s="219">
        <f t="shared" ref="AL20:AM27" si="39">AL$12</f>
        <v>7.5</v>
      </c>
      <c r="AM20" s="108">
        <f t="shared" si="39"/>
        <v>50</v>
      </c>
      <c r="AN20" s="109">
        <v>0</v>
      </c>
      <c r="AO20" s="107">
        <v>0</v>
      </c>
      <c r="AP20" s="108">
        <f t="shared" si="3"/>
        <v>15</v>
      </c>
      <c r="AQ20" s="108">
        <f t="shared" si="3"/>
        <v>5</v>
      </c>
      <c r="AR20" s="108">
        <f t="shared" si="3"/>
        <v>20</v>
      </c>
      <c r="AS20" s="108">
        <f t="shared" ref="AS20:AS27" si="40">AS$12</f>
        <v>15</v>
      </c>
      <c r="AT20" s="78"/>
      <c r="AU20" s="203">
        <f t="shared" si="10"/>
        <v>1</v>
      </c>
      <c r="AV20" s="107">
        <f t="shared" ref="AV20:AV27" si="41">AU20*L20</f>
        <v>0</v>
      </c>
      <c r="AW20" s="108">
        <f t="shared" ref="AW20:AW27" si="42">AW$12</f>
        <v>4</v>
      </c>
      <c r="AX20" s="75"/>
      <c r="AY20" s="110">
        <f t="shared" si="11"/>
        <v>0</v>
      </c>
      <c r="AZ20" s="110">
        <f t="shared" si="12"/>
        <v>125851</v>
      </c>
      <c r="BA20" s="110">
        <f t="shared" si="13"/>
        <v>0</v>
      </c>
      <c r="BB20" s="110">
        <f t="shared" si="14"/>
        <v>0</v>
      </c>
      <c r="BC20" s="110">
        <f t="shared" si="15"/>
        <v>28602.5</v>
      </c>
      <c r="BD20" s="110">
        <f t="shared" si="16"/>
        <v>0</v>
      </c>
      <c r="BE20" s="110">
        <f t="shared" si="17"/>
        <v>0</v>
      </c>
      <c r="BF20" s="110">
        <f t="shared" si="18"/>
        <v>200217.5</v>
      </c>
      <c r="BG20" s="110">
        <f t="shared" si="19"/>
        <v>0</v>
      </c>
      <c r="BH20" s="110">
        <f t="shared" si="20"/>
        <v>0</v>
      </c>
      <c r="BI20" s="110">
        <f t="shared" ref="BI20:BI27" si="43">Z20*V20</f>
        <v>0</v>
      </c>
      <c r="BJ20" s="110">
        <f t="shared" ref="BJ20:BJ27" si="44">+AG20*AC20</f>
        <v>85807.5</v>
      </c>
      <c r="BK20" s="110">
        <f t="shared" ref="BK20:BK27" si="45">+AS20*AJ20</f>
        <v>0</v>
      </c>
      <c r="BL20" s="78"/>
      <c r="BM20" s="111">
        <f t="shared" si="21"/>
        <v>125851</v>
      </c>
      <c r="BN20" s="111">
        <f t="shared" si="22"/>
        <v>28602.5</v>
      </c>
      <c r="BO20" s="111">
        <f t="shared" ref="BO20:BO27" si="46">+BE20+BF20+BG20+BH20</f>
        <v>200217.5</v>
      </c>
      <c r="BP20" s="111">
        <f t="shared" ref="BP20:BP27" si="47">SUM(BI20:BK20)</f>
        <v>85807.5</v>
      </c>
      <c r="BR20" s="112">
        <f t="shared" ref="BR20:BR27" si="48">BM20/$BR$6</f>
        <v>69.917222222222222</v>
      </c>
      <c r="BS20" s="112">
        <f t="shared" ref="BS20:BS27" si="49">(BB20+BC20+BD20)/$BS$6</f>
        <v>6.5302511415525117</v>
      </c>
      <c r="BU20" s="113">
        <f t="shared" ref="BU19:BV27" si="50">($BU$3*$R20)+(($J20+$K20)/$BU$5*$BU$7)</f>
        <v>37.388888888888886</v>
      </c>
      <c r="BV20" s="113">
        <f t="shared" si="50"/>
        <v>37.388888888888886</v>
      </c>
      <c r="BW20" s="111">
        <f t="shared" ref="BW19:BW27" si="51">BV20*$BW$3*$BW$6</f>
        <v>69318.999999999985</v>
      </c>
      <c r="BX20" s="112">
        <f t="shared" si="23"/>
        <v>568.31111111111102</v>
      </c>
      <c r="BY20" s="82"/>
      <c r="BZ20" s="111"/>
      <c r="CA20" s="112"/>
      <c r="CB20" s="82"/>
      <c r="CC20" s="111">
        <f t="shared" si="24"/>
        <v>47670.833333333336</v>
      </c>
      <c r="CD20" s="112">
        <f t="shared" si="25"/>
        <v>25.482491121258246</v>
      </c>
      <c r="CF20" s="111">
        <f t="shared" ref="CF20:CF27" si="52">BE20+BF20+BG20+BH20+BW20+BZ20+CC20</f>
        <v>317207.33333333331</v>
      </c>
      <c r="CH20" s="229">
        <f t="shared" si="26"/>
        <v>16.824999999999999</v>
      </c>
      <c r="CJ20" s="229">
        <f t="shared" ref="CJ20:CJ83" si="53">N20*15</f>
        <v>100950</v>
      </c>
    </row>
    <row r="21" spans="2:88" x14ac:dyDescent="0.2">
      <c r="B21" s="102"/>
      <c r="C21" s="103">
        <v>3</v>
      </c>
      <c r="D21" s="104"/>
      <c r="F21" s="105">
        <v>846.900383848204</v>
      </c>
      <c r="G21" s="105">
        <v>382</v>
      </c>
      <c r="H21" s="106">
        <v>1</v>
      </c>
      <c r="I21" s="105">
        <v>0</v>
      </c>
      <c r="J21" s="105">
        <v>382</v>
      </c>
      <c r="K21" s="105">
        <v>0</v>
      </c>
      <c r="L21" s="105">
        <v>0</v>
      </c>
      <c r="M21" s="105"/>
      <c r="N21" s="105">
        <v>382</v>
      </c>
      <c r="O21" s="107">
        <v>382</v>
      </c>
      <c r="P21" s="84"/>
      <c r="Q21" s="200">
        <f t="shared" si="7"/>
        <v>0</v>
      </c>
      <c r="R21" s="200">
        <f t="shared" si="8"/>
        <v>0</v>
      </c>
      <c r="S21" s="200">
        <f t="shared" si="9"/>
        <v>8.1174999999999997</v>
      </c>
      <c r="T21" s="84"/>
      <c r="U21" s="203">
        <f t="shared" si="27"/>
        <v>0.9</v>
      </c>
      <c r="V21" s="107">
        <f t="shared" si="28"/>
        <v>0</v>
      </c>
      <c r="W21" s="108">
        <f t="shared" si="29"/>
        <v>22</v>
      </c>
      <c r="X21" s="108">
        <f t="shared" si="30"/>
        <v>10</v>
      </c>
      <c r="Y21" s="108">
        <f t="shared" si="30"/>
        <v>30</v>
      </c>
      <c r="Z21" s="108">
        <f t="shared" si="30"/>
        <v>5</v>
      </c>
      <c r="AA21" s="74"/>
      <c r="AB21" s="203">
        <f t="shared" si="31"/>
        <v>0.85</v>
      </c>
      <c r="AC21" s="107">
        <f t="shared" si="32"/>
        <v>324.7</v>
      </c>
      <c r="AD21" s="108">
        <f t="shared" si="33"/>
        <v>22</v>
      </c>
      <c r="AE21" s="108">
        <f t="shared" si="34"/>
        <v>5</v>
      </c>
      <c r="AF21" s="108">
        <f t="shared" si="34"/>
        <v>35</v>
      </c>
      <c r="AG21" s="108">
        <f t="shared" si="35"/>
        <v>15</v>
      </c>
      <c r="AH21" s="75"/>
      <c r="AI21" s="203">
        <f t="shared" si="36"/>
        <v>0.85</v>
      </c>
      <c r="AJ21" s="107">
        <f t="shared" si="37"/>
        <v>0</v>
      </c>
      <c r="AK21" s="108">
        <f t="shared" si="38"/>
        <v>22</v>
      </c>
      <c r="AL21" s="219">
        <f t="shared" si="39"/>
        <v>7.5</v>
      </c>
      <c r="AM21" s="108">
        <f t="shared" si="39"/>
        <v>50</v>
      </c>
      <c r="AN21" s="109">
        <v>0</v>
      </c>
      <c r="AO21" s="107">
        <v>0</v>
      </c>
      <c r="AP21" s="108">
        <f t="shared" si="3"/>
        <v>15</v>
      </c>
      <c r="AQ21" s="108">
        <f t="shared" si="3"/>
        <v>5</v>
      </c>
      <c r="AR21" s="108">
        <f t="shared" si="3"/>
        <v>20</v>
      </c>
      <c r="AS21" s="108">
        <f t="shared" si="40"/>
        <v>15</v>
      </c>
      <c r="AT21" s="78"/>
      <c r="AU21" s="203">
        <f t="shared" si="10"/>
        <v>1</v>
      </c>
      <c r="AV21" s="107">
        <f t="shared" si="41"/>
        <v>0</v>
      </c>
      <c r="AW21" s="108">
        <f t="shared" si="42"/>
        <v>4</v>
      </c>
      <c r="AX21" s="75"/>
      <c r="AY21" s="110">
        <f t="shared" si="11"/>
        <v>0</v>
      </c>
      <c r="AZ21" s="110">
        <f t="shared" si="12"/>
        <v>7143.4</v>
      </c>
      <c r="BA21" s="110">
        <f t="shared" si="13"/>
        <v>0</v>
      </c>
      <c r="BB21" s="110">
        <f t="shared" si="14"/>
        <v>0</v>
      </c>
      <c r="BC21" s="110">
        <f t="shared" si="15"/>
        <v>1623.5</v>
      </c>
      <c r="BD21" s="110">
        <f t="shared" si="16"/>
        <v>0</v>
      </c>
      <c r="BE21" s="110">
        <f t="shared" si="17"/>
        <v>0</v>
      </c>
      <c r="BF21" s="110">
        <f t="shared" si="18"/>
        <v>11364.5</v>
      </c>
      <c r="BG21" s="110">
        <f t="shared" si="19"/>
        <v>0</v>
      </c>
      <c r="BH21" s="110">
        <f t="shared" si="20"/>
        <v>0</v>
      </c>
      <c r="BI21" s="110">
        <f t="shared" si="43"/>
        <v>0</v>
      </c>
      <c r="BJ21" s="110">
        <f t="shared" si="44"/>
        <v>4870.5</v>
      </c>
      <c r="BK21" s="110">
        <f t="shared" si="45"/>
        <v>0</v>
      </c>
      <c r="BL21" s="78"/>
      <c r="BM21" s="111">
        <f t="shared" si="21"/>
        <v>7143.4</v>
      </c>
      <c r="BN21" s="111">
        <f t="shared" si="22"/>
        <v>1623.5</v>
      </c>
      <c r="BO21" s="111">
        <f t="shared" si="46"/>
        <v>11364.5</v>
      </c>
      <c r="BP21" s="111">
        <f t="shared" si="47"/>
        <v>4870.5</v>
      </c>
      <c r="BR21" s="112">
        <f t="shared" si="48"/>
        <v>3.9685555555555552</v>
      </c>
      <c r="BS21" s="112">
        <f t="shared" si="49"/>
        <v>0.37066210045662101</v>
      </c>
      <c r="BU21" s="113">
        <f t="shared" si="50"/>
        <v>2.1222222222222222</v>
      </c>
      <c r="BV21" s="113">
        <f t="shared" si="50"/>
        <v>2.1222222222222222</v>
      </c>
      <c r="BW21" s="111">
        <f t="shared" si="51"/>
        <v>3934.6000000000004</v>
      </c>
      <c r="BX21" s="112">
        <f t="shared" si="23"/>
        <v>32.257777777777775</v>
      </c>
      <c r="BY21" s="82"/>
      <c r="BZ21" s="111"/>
      <c r="CA21" s="112"/>
      <c r="CB21" s="82"/>
      <c r="CC21" s="111">
        <f t="shared" si="24"/>
        <v>2705.833333333333</v>
      </c>
      <c r="CD21" s="112">
        <f t="shared" si="25"/>
        <v>1.446405885337392</v>
      </c>
      <c r="CF21" s="111">
        <f t="shared" si="52"/>
        <v>18004.933333333334</v>
      </c>
      <c r="CH21" s="229">
        <f t="shared" si="26"/>
        <v>0.95499999999999996</v>
      </c>
      <c r="CJ21" s="229">
        <f t="shared" si="53"/>
        <v>5730</v>
      </c>
    </row>
    <row r="22" spans="2:88" s="117" customFormat="1" x14ac:dyDescent="0.2">
      <c r="B22" s="114" t="s">
        <v>68</v>
      </c>
      <c r="C22" s="115">
        <v>4</v>
      </c>
      <c r="D22" s="116" t="s">
        <v>69</v>
      </c>
      <c r="F22" s="118">
        <v>3417.3095593288526</v>
      </c>
      <c r="G22" s="118">
        <v>1541.4</v>
      </c>
      <c r="H22" s="119">
        <v>1</v>
      </c>
      <c r="I22" s="118">
        <v>0</v>
      </c>
      <c r="J22" s="118">
        <v>1541.4</v>
      </c>
      <c r="K22" s="118">
        <v>0</v>
      </c>
      <c r="L22" s="118">
        <v>0</v>
      </c>
      <c r="M22" s="118"/>
      <c r="N22" s="118">
        <v>1541.4</v>
      </c>
      <c r="O22" s="118">
        <v>1541.4</v>
      </c>
      <c r="P22" s="120"/>
      <c r="Q22" s="201">
        <f t="shared" si="7"/>
        <v>0</v>
      </c>
      <c r="R22" s="201">
        <f t="shared" si="8"/>
        <v>0</v>
      </c>
      <c r="S22" s="201">
        <f t="shared" si="9"/>
        <v>32.754750000000001</v>
      </c>
      <c r="T22" s="120"/>
      <c r="U22" s="214">
        <f t="shared" si="27"/>
        <v>0.9</v>
      </c>
      <c r="V22" s="118">
        <f t="shared" si="28"/>
        <v>0</v>
      </c>
      <c r="W22" s="122">
        <v>200</v>
      </c>
      <c r="X22" s="122">
        <f t="shared" si="30"/>
        <v>10</v>
      </c>
      <c r="Y22" s="122">
        <f t="shared" si="30"/>
        <v>30</v>
      </c>
      <c r="Z22" s="108">
        <f t="shared" si="30"/>
        <v>5</v>
      </c>
      <c r="AA22" s="123"/>
      <c r="AB22" s="214">
        <f t="shared" si="31"/>
        <v>0.85</v>
      </c>
      <c r="AC22" s="118">
        <f t="shared" si="32"/>
        <v>1310.19</v>
      </c>
      <c r="AD22" s="122">
        <v>200</v>
      </c>
      <c r="AE22" s="122">
        <f t="shared" si="34"/>
        <v>5</v>
      </c>
      <c r="AF22" s="122">
        <f t="shared" si="34"/>
        <v>35</v>
      </c>
      <c r="AG22" s="108">
        <f t="shared" si="35"/>
        <v>15</v>
      </c>
      <c r="AH22" s="123"/>
      <c r="AI22" s="214">
        <f t="shared" si="36"/>
        <v>0.85</v>
      </c>
      <c r="AJ22" s="118">
        <f t="shared" si="37"/>
        <v>0</v>
      </c>
      <c r="AK22" s="122">
        <v>120</v>
      </c>
      <c r="AL22" s="220">
        <f t="shared" si="39"/>
        <v>7.5</v>
      </c>
      <c r="AM22" s="122">
        <f t="shared" si="39"/>
        <v>50</v>
      </c>
      <c r="AN22" s="124">
        <v>0</v>
      </c>
      <c r="AO22" s="118">
        <v>0</v>
      </c>
      <c r="AP22" s="122">
        <f t="shared" si="3"/>
        <v>15</v>
      </c>
      <c r="AQ22" s="122">
        <f t="shared" si="3"/>
        <v>5</v>
      </c>
      <c r="AR22" s="122">
        <f t="shared" si="3"/>
        <v>20</v>
      </c>
      <c r="AS22" s="108">
        <f t="shared" si="40"/>
        <v>15</v>
      </c>
      <c r="AT22" s="125"/>
      <c r="AU22" s="214">
        <f t="shared" si="10"/>
        <v>1</v>
      </c>
      <c r="AV22" s="118">
        <f t="shared" si="41"/>
        <v>0</v>
      </c>
      <c r="AW22" s="122">
        <f t="shared" si="42"/>
        <v>4</v>
      </c>
      <c r="AX22" s="123"/>
      <c r="AY22" s="126">
        <f t="shared" si="11"/>
        <v>0</v>
      </c>
      <c r="AZ22" s="126">
        <f t="shared" si="12"/>
        <v>262038</v>
      </c>
      <c r="BA22" s="126">
        <f t="shared" si="13"/>
        <v>0</v>
      </c>
      <c r="BB22" s="126">
        <f t="shared" si="14"/>
        <v>0</v>
      </c>
      <c r="BC22" s="126">
        <f t="shared" si="15"/>
        <v>6550.9500000000007</v>
      </c>
      <c r="BD22" s="126">
        <f t="shared" si="16"/>
        <v>0</v>
      </c>
      <c r="BE22" s="126">
        <f t="shared" si="17"/>
        <v>0</v>
      </c>
      <c r="BF22" s="126">
        <f t="shared" si="18"/>
        <v>45856.65</v>
      </c>
      <c r="BG22" s="126">
        <f t="shared" si="19"/>
        <v>0</v>
      </c>
      <c r="BH22" s="126">
        <f t="shared" si="20"/>
        <v>0</v>
      </c>
      <c r="BI22" s="110">
        <f t="shared" si="43"/>
        <v>0</v>
      </c>
      <c r="BJ22" s="110">
        <f t="shared" si="44"/>
        <v>19652.850000000002</v>
      </c>
      <c r="BK22" s="110">
        <f t="shared" si="45"/>
        <v>0</v>
      </c>
      <c r="BL22" s="125"/>
      <c r="BM22" s="127">
        <f t="shared" si="21"/>
        <v>262038</v>
      </c>
      <c r="BN22" s="127">
        <f t="shared" si="22"/>
        <v>6550.9500000000007</v>
      </c>
      <c r="BO22" s="127">
        <f t="shared" si="46"/>
        <v>45856.65</v>
      </c>
      <c r="BP22" s="111">
        <f t="shared" si="47"/>
        <v>19652.850000000002</v>
      </c>
      <c r="BR22" s="128">
        <f t="shared" si="48"/>
        <v>145.57666666666665</v>
      </c>
      <c r="BS22" s="128">
        <f t="shared" si="49"/>
        <v>1.495650684931507</v>
      </c>
      <c r="BU22" s="129">
        <f t="shared" si="50"/>
        <v>8.5633333333333344</v>
      </c>
      <c r="BV22" s="129">
        <f t="shared" si="50"/>
        <v>8.5633333333333344</v>
      </c>
      <c r="BW22" s="127">
        <f t="shared" si="51"/>
        <v>15876.420000000002</v>
      </c>
      <c r="BX22" s="128">
        <f t="shared" si="23"/>
        <v>130.16266666666667</v>
      </c>
      <c r="BY22" s="130"/>
      <c r="BZ22" s="127"/>
      <c r="CA22" s="128"/>
      <c r="CB22" s="130"/>
      <c r="CC22" s="127">
        <f t="shared" si="24"/>
        <v>88656.19</v>
      </c>
      <c r="CD22" s="128">
        <f t="shared" si="25"/>
        <v>49.024105783866048</v>
      </c>
      <c r="CF22" s="127">
        <f t="shared" si="52"/>
        <v>150389.26</v>
      </c>
      <c r="CH22" s="230">
        <f t="shared" si="26"/>
        <v>3.8534999999999999</v>
      </c>
      <c r="CJ22" s="230">
        <f t="shared" si="53"/>
        <v>23121</v>
      </c>
    </row>
    <row r="23" spans="2:88" x14ac:dyDescent="0.2">
      <c r="B23" s="102"/>
      <c r="C23" s="103">
        <v>5</v>
      </c>
      <c r="D23" s="131"/>
      <c r="F23" s="105">
        <v>931.14701889069545</v>
      </c>
      <c r="G23" s="105">
        <v>420</v>
      </c>
      <c r="H23" s="106">
        <v>1</v>
      </c>
      <c r="I23" s="105">
        <v>0</v>
      </c>
      <c r="J23" s="105">
        <v>420</v>
      </c>
      <c r="K23" s="105">
        <v>0</v>
      </c>
      <c r="L23" s="105">
        <v>0</v>
      </c>
      <c r="M23" s="105"/>
      <c r="N23" s="105">
        <v>420</v>
      </c>
      <c r="O23" s="107">
        <v>420</v>
      </c>
      <c r="P23" s="84"/>
      <c r="Q23" s="200">
        <f t="shared" si="7"/>
        <v>0</v>
      </c>
      <c r="R23" s="200">
        <f t="shared" si="8"/>
        <v>0</v>
      </c>
      <c r="S23" s="200">
        <f t="shared" si="9"/>
        <v>8.9250000000000007</v>
      </c>
      <c r="T23" s="84"/>
      <c r="U23" s="203">
        <f t="shared" si="27"/>
        <v>0.9</v>
      </c>
      <c r="V23" s="107">
        <f t="shared" si="28"/>
        <v>0</v>
      </c>
      <c r="W23" s="108">
        <f t="shared" si="29"/>
        <v>22</v>
      </c>
      <c r="X23" s="108">
        <f t="shared" si="30"/>
        <v>10</v>
      </c>
      <c r="Y23" s="108">
        <f t="shared" si="30"/>
        <v>30</v>
      </c>
      <c r="Z23" s="108">
        <f t="shared" si="30"/>
        <v>5</v>
      </c>
      <c r="AA23" s="74"/>
      <c r="AB23" s="203">
        <f t="shared" si="31"/>
        <v>0.85</v>
      </c>
      <c r="AC23" s="107">
        <f t="shared" si="32"/>
        <v>357</v>
      </c>
      <c r="AD23" s="108">
        <f t="shared" ref="AD23:AD24" si="54">$AD$12</f>
        <v>22</v>
      </c>
      <c r="AE23" s="108">
        <f t="shared" si="34"/>
        <v>5</v>
      </c>
      <c r="AF23" s="108">
        <f t="shared" si="34"/>
        <v>35</v>
      </c>
      <c r="AG23" s="108">
        <f t="shared" si="35"/>
        <v>15</v>
      </c>
      <c r="AH23" s="75"/>
      <c r="AI23" s="203">
        <f t="shared" si="36"/>
        <v>0.85</v>
      </c>
      <c r="AJ23" s="107">
        <f t="shared" si="37"/>
        <v>0</v>
      </c>
      <c r="AK23" s="108">
        <f t="shared" ref="AK23:AK24" si="55">$AK$12</f>
        <v>22</v>
      </c>
      <c r="AL23" s="219">
        <f t="shared" si="39"/>
        <v>7.5</v>
      </c>
      <c r="AM23" s="108">
        <f t="shared" si="39"/>
        <v>50</v>
      </c>
      <c r="AN23" s="109">
        <v>0</v>
      </c>
      <c r="AO23" s="107">
        <v>0</v>
      </c>
      <c r="AP23" s="108">
        <f t="shared" si="3"/>
        <v>15</v>
      </c>
      <c r="AQ23" s="108">
        <f t="shared" si="3"/>
        <v>5</v>
      </c>
      <c r="AR23" s="108">
        <f t="shared" si="3"/>
        <v>20</v>
      </c>
      <c r="AS23" s="108">
        <f t="shared" si="40"/>
        <v>15</v>
      </c>
      <c r="AT23" s="84"/>
      <c r="AU23" s="203">
        <f t="shared" si="10"/>
        <v>1</v>
      </c>
      <c r="AV23" s="107">
        <f t="shared" si="41"/>
        <v>0</v>
      </c>
      <c r="AW23" s="108">
        <f t="shared" si="42"/>
        <v>4</v>
      </c>
      <c r="AX23" s="75"/>
      <c r="AY23" s="110">
        <f t="shared" si="11"/>
        <v>0</v>
      </c>
      <c r="AZ23" s="110">
        <f t="shared" si="12"/>
        <v>7854</v>
      </c>
      <c r="BA23" s="110">
        <f t="shared" si="13"/>
        <v>0</v>
      </c>
      <c r="BB23" s="110">
        <f t="shared" si="14"/>
        <v>0</v>
      </c>
      <c r="BC23" s="110">
        <f t="shared" si="15"/>
        <v>1785</v>
      </c>
      <c r="BD23" s="110">
        <f t="shared" si="16"/>
        <v>0</v>
      </c>
      <c r="BE23" s="110">
        <f t="shared" si="17"/>
        <v>0</v>
      </c>
      <c r="BF23" s="110">
        <f t="shared" si="18"/>
        <v>12495</v>
      </c>
      <c r="BG23" s="110">
        <f t="shared" si="19"/>
        <v>0</v>
      </c>
      <c r="BH23" s="110">
        <f t="shared" si="20"/>
        <v>0</v>
      </c>
      <c r="BI23" s="110">
        <f t="shared" si="43"/>
        <v>0</v>
      </c>
      <c r="BJ23" s="110">
        <f t="shared" si="44"/>
        <v>5355</v>
      </c>
      <c r="BK23" s="110">
        <f t="shared" si="45"/>
        <v>0</v>
      </c>
      <c r="BL23" s="84"/>
      <c r="BM23" s="111">
        <f t="shared" si="21"/>
        <v>7854</v>
      </c>
      <c r="BN23" s="111">
        <f t="shared" si="22"/>
        <v>1785</v>
      </c>
      <c r="BO23" s="111">
        <f t="shared" si="46"/>
        <v>12495</v>
      </c>
      <c r="BP23" s="111">
        <f t="shared" si="47"/>
        <v>5355</v>
      </c>
      <c r="BR23" s="112">
        <f t="shared" si="48"/>
        <v>4.3633333333333333</v>
      </c>
      <c r="BS23" s="112">
        <f t="shared" si="49"/>
        <v>0.40753424657534248</v>
      </c>
      <c r="BU23" s="113">
        <f t="shared" si="50"/>
        <v>2.333333333333333</v>
      </c>
      <c r="BV23" s="113">
        <f t="shared" si="50"/>
        <v>2.333333333333333</v>
      </c>
      <c r="BW23" s="111">
        <f t="shared" si="51"/>
        <v>4325.9999999999991</v>
      </c>
      <c r="BX23" s="112">
        <f t="shared" si="23"/>
        <v>35.466666666666661</v>
      </c>
      <c r="BY23" s="82"/>
      <c r="BZ23" s="111"/>
      <c r="CA23" s="112"/>
      <c r="CB23" s="82"/>
      <c r="CC23" s="111">
        <f t="shared" si="24"/>
        <v>2975</v>
      </c>
      <c r="CD23" s="112">
        <f t="shared" si="25"/>
        <v>1.590289193302892</v>
      </c>
      <c r="CF23" s="111">
        <f t="shared" si="52"/>
        <v>19796</v>
      </c>
      <c r="CH23" s="229">
        <f t="shared" si="26"/>
        <v>1.05</v>
      </c>
      <c r="CJ23" s="229">
        <f t="shared" si="53"/>
        <v>6300</v>
      </c>
    </row>
    <row r="24" spans="2:88" x14ac:dyDescent="0.2">
      <c r="B24" s="102"/>
      <c r="C24" s="132">
        <v>6</v>
      </c>
      <c r="D24" s="133"/>
      <c r="F24" s="105">
        <v>1707.102867966275</v>
      </c>
      <c r="G24" s="105">
        <v>770</v>
      </c>
      <c r="H24" s="106">
        <v>4</v>
      </c>
      <c r="I24" s="105">
        <v>0</v>
      </c>
      <c r="J24" s="105">
        <v>3080</v>
      </c>
      <c r="K24" s="105">
        <v>0</v>
      </c>
      <c r="L24" s="105">
        <v>0</v>
      </c>
      <c r="M24" s="105"/>
      <c r="N24" s="105">
        <v>3080</v>
      </c>
      <c r="O24" s="107">
        <v>3080</v>
      </c>
      <c r="P24" s="84"/>
      <c r="Q24" s="200">
        <f t="shared" si="7"/>
        <v>0</v>
      </c>
      <c r="R24" s="200">
        <f t="shared" si="8"/>
        <v>0</v>
      </c>
      <c r="S24" s="200">
        <f t="shared" si="9"/>
        <v>65.45</v>
      </c>
      <c r="T24" s="84"/>
      <c r="U24" s="203">
        <f t="shared" si="27"/>
        <v>0.9</v>
      </c>
      <c r="V24" s="107">
        <f t="shared" si="28"/>
        <v>0</v>
      </c>
      <c r="W24" s="108">
        <f t="shared" si="29"/>
        <v>22</v>
      </c>
      <c r="X24" s="108">
        <f t="shared" si="30"/>
        <v>10</v>
      </c>
      <c r="Y24" s="108">
        <f t="shared" si="30"/>
        <v>30</v>
      </c>
      <c r="Z24" s="108">
        <f t="shared" si="30"/>
        <v>5</v>
      </c>
      <c r="AA24" s="74"/>
      <c r="AB24" s="203">
        <f t="shared" si="31"/>
        <v>0.85</v>
      </c>
      <c r="AC24" s="107">
        <f t="shared" si="32"/>
        <v>2618</v>
      </c>
      <c r="AD24" s="108">
        <f t="shared" si="54"/>
        <v>22</v>
      </c>
      <c r="AE24" s="108">
        <f t="shared" si="34"/>
        <v>5</v>
      </c>
      <c r="AF24" s="108">
        <f t="shared" si="34"/>
        <v>35</v>
      </c>
      <c r="AG24" s="108">
        <f t="shared" si="35"/>
        <v>15</v>
      </c>
      <c r="AH24" s="75"/>
      <c r="AI24" s="203">
        <f t="shared" si="36"/>
        <v>0.85</v>
      </c>
      <c r="AJ24" s="107">
        <f t="shared" si="37"/>
        <v>0</v>
      </c>
      <c r="AK24" s="108">
        <f t="shared" si="55"/>
        <v>22</v>
      </c>
      <c r="AL24" s="219">
        <f t="shared" si="39"/>
        <v>7.5</v>
      </c>
      <c r="AM24" s="108">
        <f t="shared" si="39"/>
        <v>50</v>
      </c>
      <c r="AN24" s="134">
        <v>0</v>
      </c>
      <c r="AO24" s="107">
        <v>0</v>
      </c>
      <c r="AP24" s="108">
        <f t="shared" si="3"/>
        <v>15</v>
      </c>
      <c r="AQ24" s="108">
        <f t="shared" si="3"/>
        <v>5</v>
      </c>
      <c r="AR24" s="108">
        <f t="shared" si="3"/>
        <v>20</v>
      </c>
      <c r="AS24" s="108">
        <f t="shared" si="40"/>
        <v>15</v>
      </c>
      <c r="AT24" s="84"/>
      <c r="AU24" s="203">
        <f t="shared" si="10"/>
        <v>1</v>
      </c>
      <c r="AV24" s="107">
        <f t="shared" si="41"/>
        <v>0</v>
      </c>
      <c r="AW24" s="108">
        <f t="shared" si="42"/>
        <v>4</v>
      </c>
      <c r="AX24" s="75"/>
      <c r="AY24" s="110">
        <f t="shared" si="11"/>
        <v>0</v>
      </c>
      <c r="AZ24" s="110">
        <f t="shared" si="12"/>
        <v>57596</v>
      </c>
      <c r="BA24" s="110">
        <f t="shared" si="13"/>
        <v>0</v>
      </c>
      <c r="BB24" s="110">
        <f t="shared" si="14"/>
        <v>0</v>
      </c>
      <c r="BC24" s="110">
        <f t="shared" si="15"/>
        <v>13090</v>
      </c>
      <c r="BD24" s="110">
        <f t="shared" si="16"/>
        <v>0</v>
      </c>
      <c r="BE24" s="110">
        <f t="shared" si="17"/>
        <v>0</v>
      </c>
      <c r="BF24" s="110">
        <f t="shared" si="18"/>
        <v>91630</v>
      </c>
      <c r="BG24" s="110">
        <f t="shared" si="19"/>
        <v>0</v>
      </c>
      <c r="BH24" s="110">
        <f t="shared" si="20"/>
        <v>0</v>
      </c>
      <c r="BI24" s="110">
        <f t="shared" si="43"/>
        <v>0</v>
      </c>
      <c r="BJ24" s="110">
        <f t="shared" si="44"/>
        <v>39270</v>
      </c>
      <c r="BK24" s="110">
        <f t="shared" si="45"/>
        <v>0</v>
      </c>
      <c r="BL24" s="84"/>
      <c r="BM24" s="111">
        <f t="shared" si="21"/>
        <v>57596</v>
      </c>
      <c r="BN24" s="111">
        <f t="shared" si="22"/>
        <v>13090</v>
      </c>
      <c r="BO24" s="111">
        <f t="shared" si="46"/>
        <v>91630</v>
      </c>
      <c r="BP24" s="111">
        <f t="shared" si="47"/>
        <v>39270</v>
      </c>
      <c r="BR24" s="112">
        <f t="shared" si="48"/>
        <v>31.997777777777777</v>
      </c>
      <c r="BS24" s="112">
        <f t="shared" si="49"/>
        <v>2.9885844748858448</v>
      </c>
      <c r="BU24" s="113">
        <f t="shared" si="50"/>
        <v>17.111111111111111</v>
      </c>
      <c r="BV24" s="113">
        <f t="shared" si="50"/>
        <v>17.111111111111111</v>
      </c>
      <c r="BW24" s="111">
        <f t="shared" si="51"/>
        <v>31723.999999999996</v>
      </c>
      <c r="BX24" s="112">
        <f t="shared" si="23"/>
        <v>260.08888888888885</v>
      </c>
      <c r="BY24" s="82"/>
      <c r="BZ24" s="111"/>
      <c r="CA24" s="112"/>
      <c r="CB24" s="82"/>
      <c r="CC24" s="111">
        <f t="shared" si="24"/>
        <v>21816.666666666668</v>
      </c>
      <c r="CD24" s="112">
        <f t="shared" si="25"/>
        <v>11.662120750887874</v>
      </c>
      <c r="CF24" s="111">
        <f t="shared" si="52"/>
        <v>145170.66666666666</v>
      </c>
      <c r="CH24" s="229">
        <f t="shared" si="26"/>
        <v>7.7</v>
      </c>
      <c r="CJ24" s="229">
        <f t="shared" si="53"/>
        <v>46200</v>
      </c>
    </row>
    <row r="25" spans="2:88" s="117" customFormat="1" x14ac:dyDescent="0.2">
      <c r="B25" s="114" t="s">
        <v>70</v>
      </c>
      <c r="C25" s="115">
        <v>7</v>
      </c>
      <c r="D25" s="116" t="s">
        <v>69</v>
      </c>
      <c r="F25" s="118">
        <v>1019.827687356476</v>
      </c>
      <c r="G25" s="118">
        <v>460</v>
      </c>
      <c r="H25" s="119">
        <v>1</v>
      </c>
      <c r="I25" s="118">
        <v>0</v>
      </c>
      <c r="J25" s="118">
        <v>460</v>
      </c>
      <c r="K25" s="118">
        <v>0</v>
      </c>
      <c r="L25" s="118">
        <v>0</v>
      </c>
      <c r="M25" s="118"/>
      <c r="N25" s="118">
        <v>460</v>
      </c>
      <c r="O25" s="118">
        <v>460</v>
      </c>
      <c r="P25" s="120"/>
      <c r="Q25" s="201">
        <f t="shared" si="7"/>
        <v>0</v>
      </c>
      <c r="R25" s="201">
        <f t="shared" si="8"/>
        <v>0</v>
      </c>
      <c r="S25" s="201">
        <f t="shared" si="9"/>
        <v>9.7750000000000004</v>
      </c>
      <c r="T25" s="120"/>
      <c r="U25" s="214">
        <f t="shared" si="27"/>
        <v>0.9</v>
      </c>
      <c r="V25" s="118">
        <f t="shared" si="28"/>
        <v>0</v>
      </c>
      <c r="W25" s="122">
        <v>200</v>
      </c>
      <c r="X25" s="122">
        <f t="shared" si="30"/>
        <v>10</v>
      </c>
      <c r="Y25" s="122">
        <f t="shared" si="30"/>
        <v>30</v>
      </c>
      <c r="Z25" s="108">
        <f t="shared" si="30"/>
        <v>5</v>
      </c>
      <c r="AA25" s="123"/>
      <c r="AB25" s="214">
        <f t="shared" si="31"/>
        <v>0.85</v>
      </c>
      <c r="AC25" s="118">
        <f t="shared" si="32"/>
        <v>391</v>
      </c>
      <c r="AD25" s="122">
        <v>200</v>
      </c>
      <c r="AE25" s="122">
        <f t="shared" si="34"/>
        <v>5</v>
      </c>
      <c r="AF25" s="122">
        <f t="shared" si="34"/>
        <v>35</v>
      </c>
      <c r="AG25" s="108">
        <f t="shared" si="35"/>
        <v>15</v>
      </c>
      <c r="AH25" s="123"/>
      <c r="AI25" s="214">
        <f t="shared" si="36"/>
        <v>0.85</v>
      </c>
      <c r="AJ25" s="118">
        <f t="shared" si="37"/>
        <v>0</v>
      </c>
      <c r="AK25" s="122">
        <v>120</v>
      </c>
      <c r="AL25" s="220">
        <f t="shared" si="39"/>
        <v>7.5</v>
      </c>
      <c r="AM25" s="122">
        <f t="shared" si="39"/>
        <v>50</v>
      </c>
      <c r="AN25" s="124">
        <v>0</v>
      </c>
      <c r="AO25" s="118">
        <v>0</v>
      </c>
      <c r="AP25" s="122">
        <f t="shared" si="3"/>
        <v>15</v>
      </c>
      <c r="AQ25" s="122">
        <f t="shared" si="3"/>
        <v>5</v>
      </c>
      <c r="AR25" s="122">
        <f t="shared" si="3"/>
        <v>20</v>
      </c>
      <c r="AS25" s="108">
        <f>AS$12</f>
        <v>15</v>
      </c>
      <c r="AT25" s="125"/>
      <c r="AU25" s="214">
        <f t="shared" si="10"/>
        <v>1</v>
      </c>
      <c r="AV25" s="118">
        <f t="shared" si="41"/>
        <v>0</v>
      </c>
      <c r="AW25" s="122">
        <f t="shared" si="42"/>
        <v>4</v>
      </c>
      <c r="AX25" s="123"/>
      <c r="AY25" s="126">
        <f t="shared" si="11"/>
        <v>0</v>
      </c>
      <c r="AZ25" s="126">
        <f t="shared" si="12"/>
        <v>78200</v>
      </c>
      <c r="BA25" s="126">
        <f t="shared" si="13"/>
        <v>0</v>
      </c>
      <c r="BB25" s="126">
        <f t="shared" si="14"/>
        <v>0</v>
      </c>
      <c r="BC25" s="126">
        <f t="shared" si="15"/>
        <v>1955</v>
      </c>
      <c r="BD25" s="126">
        <f t="shared" si="16"/>
        <v>0</v>
      </c>
      <c r="BE25" s="126">
        <f t="shared" si="17"/>
        <v>0</v>
      </c>
      <c r="BF25" s="126">
        <f t="shared" si="18"/>
        <v>13685</v>
      </c>
      <c r="BG25" s="126">
        <f t="shared" si="19"/>
        <v>0</v>
      </c>
      <c r="BH25" s="126">
        <f t="shared" si="20"/>
        <v>0</v>
      </c>
      <c r="BI25" s="110">
        <f t="shared" si="43"/>
        <v>0</v>
      </c>
      <c r="BJ25" s="110">
        <f t="shared" si="44"/>
        <v>5865</v>
      </c>
      <c r="BK25" s="110">
        <f t="shared" si="45"/>
        <v>0</v>
      </c>
      <c r="BL25" s="125"/>
      <c r="BM25" s="127">
        <f t="shared" si="21"/>
        <v>78200</v>
      </c>
      <c r="BN25" s="127">
        <f t="shared" si="22"/>
        <v>1955</v>
      </c>
      <c r="BO25" s="127">
        <f t="shared" si="46"/>
        <v>13685</v>
      </c>
      <c r="BP25" s="111">
        <f t="shared" si="47"/>
        <v>5865</v>
      </c>
      <c r="BR25" s="128">
        <f t="shared" si="48"/>
        <v>43.444444444444443</v>
      </c>
      <c r="BS25" s="128">
        <f t="shared" si="49"/>
        <v>0.44634703196347031</v>
      </c>
      <c r="BU25" s="129">
        <f t="shared" si="50"/>
        <v>2.5555555555555558</v>
      </c>
      <c r="BV25" s="129">
        <f t="shared" si="50"/>
        <v>2.5555555555555558</v>
      </c>
      <c r="BW25" s="127">
        <f t="shared" si="51"/>
        <v>4738.0000000000009</v>
      </c>
      <c r="BX25" s="128">
        <f t="shared" si="23"/>
        <v>38.844444444444449</v>
      </c>
      <c r="BY25" s="130"/>
      <c r="BZ25" s="127"/>
      <c r="CA25" s="128"/>
      <c r="CB25" s="130"/>
      <c r="CC25" s="127">
        <f t="shared" si="24"/>
        <v>26457.666666666668</v>
      </c>
      <c r="CD25" s="128">
        <f t="shared" si="25"/>
        <v>14.630263825469305</v>
      </c>
      <c r="CF25" s="127">
        <f t="shared" si="52"/>
        <v>44880.666666666672</v>
      </c>
      <c r="CH25" s="230">
        <f t="shared" si="26"/>
        <v>1.1499999999999999</v>
      </c>
      <c r="CJ25" s="230">
        <f t="shared" si="53"/>
        <v>6900</v>
      </c>
    </row>
    <row r="26" spans="2:88" s="147" customFormat="1" x14ac:dyDescent="0.2">
      <c r="B26" s="161" t="s">
        <v>107</v>
      </c>
      <c r="C26" s="162"/>
      <c r="D26" s="197" t="s">
        <v>108</v>
      </c>
      <c r="F26" s="163"/>
      <c r="G26" s="163"/>
      <c r="H26" s="164"/>
      <c r="I26" s="163"/>
      <c r="J26" s="163"/>
      <c r="K26" s="163"/>
      <c r="L26" s="163">
        <v>2483</v>
      </c>
      <c r="M26" s="163"/>
      <c r="N26" s="163"/>
      <c r="O26" s="163">
        <v>2483</v>
      </c>
      <c r="P26" s="150"/>
      <c r="Q26" s="202">
        <f t="shared" si="7"/>
        <v>0</v>
      </c>
      <c r="R26" s="202">
        <f t="shared" si="8"/>
        <v>0</v>
      </c>
      <c r="S26" s="202">
        <f t="shared" si="8"/>
        <v>0.2</v>
      </c>
      <c r="T26" s="150"/>
      <c r="U26" s="212">
        <f t="shared" si="27"/>
        <v>0.9</v>
      </c>
      <c r="V26" s="163">
        <f t="shared" si="28"/>
        <v>0</v>
      </c>
      <c r="W26" s="165">
        <f t="shared" si="29"/>
        <v>22</v>
      </c>
      <c r="X26" s="165">
        <f t="shared" si="30"/>
        <v>10</v>
      </c>
      <c r="Y26" s="165">
        <f t="shared" si="30"/>
        <v>30</v>
      </c>
      <c r="Z26" s="108">
        <f t="shared" si="30"/>
        <v>5</v>
      </c>
      <c r="AA26" s="74"/>
      <c r="AB26" s="212">
        <f t="shared" si="31"/>
        <v>0.85</v>
      </c>
      <c r="AC26" s="163">
        <f t="shared" si="32"/>
        <v>0</v>
      </c>
      <c r="AD26" s="165">
        <f t="shared" ref="AD26:AD27" si="56">$AD$12</f>
        <v>22</v>
      </c>
      <c r="AE26" s="165">
        <f t="shared" si="34"/>
        <v>5</v>
      </c>
      <c r="AF26" s="165">
        <f t="shared" si="34"/>
        <v>35</v>
      </c>
      <c r="AG26" s="108">
        <f t="shared" si="35"/>
        <v>15</v>
      </c>
      <c r="AH26" s="74"/>
      <c r="AI26" s="212">
        <f t="shared" si="36"/>
        <v>0.85</v>
      </c>
      <c r="AJ26" s="163">
        <f t="shared" si="37"/>
        <v>0</v>
      </c>
      <c r="AK26" s="165">
        <f t="shared" ref="AK26:AK27" si="57">$AK$12</f>
        <v>22</v>
      </c>
      <c r="AL26" s="221">
        <f t="shared" si="39"/>
        <v>7.5</v>
      </c>
      <c r="AM26" s="165">
        <f t="shared" si="39"/>
        <v>50</v>
      </c>
      <c r="AN26" s="166"/>
      <c r="AO26" s="163"/>
      <c r="AP26" s="165"/>
      <c r="AQ26" s="165"/>
      <c r="AR26" s="165"/>
      <c r="AS26" s="108">
        <f t="shared" si="40"/>
        <v>15</v>
      </c>
      <c r="AT26" s="150"/>
      <c r="AU26" s="212">
        <f t="shared" si="10"/>
        <v>1</v>
      </c>
      <c r="AV26" s="163">
        <f t="shared" si="41"/>
        <v>2483</v>
      </c>
      <c r="AW26" s="165">
        <f t="shared" si="42"/>
        <v>4</v>
      </c>
      <c r="AX26" s="74"/>
      <c r="AY26" s="167">
        <f t="shared" si="11"/>
        <v>0</v>
      </c>
      <c r="AZ26" s="167">
        <f t="shared" si="12"/>
        <v>0</v>
      </c>
      <c r="BA26" s="167">
        <f t="shared" si="13"/>
        <v>0</v>
      </c>
      <c r="BB26" s="167">
        <f t="shared" si="14"/>
        <v>0</v>
      </c>
      <c r="BC26" s="167">
        <f t="shared" si="15"/>
        <v>0</v>
      </c>
      <c r="BD26" s="167">
        <f t="shared" si="16"/>
        <v>0</v>
      </c>
      <c r="BE26" s="167">
        <f t="shared" si="17"/>
        <v>0</v>
      </c>
      <c r="BF26" s="167">
        <f t="shared" si="18"/>
        <v>0</v>
      </c>
      <c r="BG26" s="167">
        <f t="shared" si="19"/>
        <v>0</v>
      </c>
      <c r="BH26" s="167">
        <f t="shared" si="20"/>
        <v>9932</v>
      </c>
      <c r="BI26" s="110">
        <f t="shared" si="43"/>
        <v>0</v>
      </c>
      <c r="BJ26" s="110">
        <f t="shared" si="44"/>
        <v>0</v>
      </c>
      <c r="BK26" s="110">
        <f t="shared" si="45"/>
        <v>0</v>
      </c>
      <c r="BL26" s="150"/>
      <c r="BM26" s="168">
        <f t="shared" si="21"/>
        <v>0</v>
      </c>
      <c r="BN26" s="168">
        <f t="shared" si="22"/>
        <v>0</v>
      </c>
      <c r="BO26" s="168">
        <f t="shared" si="46"/>
        <v>9932</v>
      </c>
      <c r="BP26" s="111">
        <f t="shared" si="47"/>
        <v>0</v>
      </c>
      <c r="BR26" s="169">
        <f t="shared" si="48"/>
        <v>0</v>
      </c>
      <c r="BS26" s="169">
        <f t="shared" si="49"/>
        <v>0</v>
      </c>
      <c r="BU26" s="170">
        <f t="shared" si="50"/>
        <v>0</v>
      </c>
      <c r="BV26" s="170">
        <f t="shared" si="50"/>
        <v>0</v>
      </c>
      <c r="BW26" s="168">
        <f t="shared" si="51"/>
        <v>0</v>
      </c>
      <c r="BX26" s="169">
        <f t="shared" si="23"/>
        <v>0</v>
      </c>
      <c r="BY26" s="157"/>
      <c r="BZ26" s="168"/>
      <c r="CA26" s="169"/>
      <c r="CB26" s="157"/>
      <c r="CC26" s="127">
        <f t="shared" si="24"/>
        <v>0</v>
      </c>
      <c r="CD26" s="128">
        <f t="shared" si="25"/>
        <v>0</v>
      </c>
      <c r="CE26" s="117"/>
      <c r="CF26" s="127">
        <f t="shared" si="52"/>
        <v>9932</v>
      </c>
      <c r="CG26" s="117"/>
      <c r="CH26" s="230">
        <f t="shared" ref="CH26:CH27" si="58">$CH$6*O26/1000</f>
        <v>6.2074999999999996</v>
      </c>
      <c r="CJ26" s="230">
        <f t="shared" si="53"/>
        <v>0</v>
      </c>
    </row>
    <row r="27" spans="2:88" s="147" customFormat="1" x14ac:dyDescent="0.2">
      <c r="B27" s="161" t="s">
        <v>107</v>
      </c>
      <c r="C27" s="162"/>
      <c r="D27" s="197" t="s">
        <v>109</v>
      </c>
      <c r="F27" s="163"/>
      <c r="G27" s="163"/>
      <c r="H27" s="164"/>
      <c r="I27" s="163"/>
      <c r="J27" s="163"/>
      <c r="K27" s="163"/>
      <c r="L27" s="163">
        <v>2780</v>
      </c>
      <c r="M27" s="163"/>
      <c r="N27" s="163"/>
      <c r="O27" s="163">
        <v>2780</v>
      </c>
      <c r="P27" s="150"/>
      <c r="Q27" s="202">
        <f t="shared" si="7"/>
        <v>0</v>
      </c>
      <c r="R27" s="202">
        <f t="shared" si="8"/>
        <v>0</v>
      </c>
      <c r="S27" s="202">
        <f t="shared" si="8"/>
        <v>0.2</v>
      </c>
      <c r="T27" s="150"/>
      <c r="U27" s="212">
        <f t="shared" si="27"/>
        <v>0.9</v>
      </c>
      <c r="V27" s="163">
        <f t="shared" si="28"/>
        <v>0</v>
      </c>
      <c r="W27" s="165">
        <f t="shared" si="29"/>
        <v>22</v>
      </c>
      <c r="X27" s="165">
        <f t="shared" si="30"/>
        <v>10</v>
      </c>
      <c r="Y27" s="165">
        <f t="shared" si="30"/>
        <v>30</v>
      </c>
      <c r="Z27" s="108">
        <f t="shared" si="30"/>
        <v>5</v>
      </c>
      <c r="AA27" s="74"/>
      <c r="AB27" s="212">
        <f t="shared" si="31"/>
        <v>0.85</v>
      </c>
      <c r="AC27" s="163">
        <f t="shared" si="32"/>
        <v>0</v>
      </c>
      <c r="AD27" s="165">
        <f t="shared" si="56"/>
        <v>22</v>
      </c>
      <c r="AE27" s="165">
        <f t="shared" si="34"/>
        <v>5</v>
      </c>
      <c r="AF27" s="165">
        <f t="shared" si="34"/>
        <v>35</v>
      </c>
      <c r="AG27" s="108">
        <f t="shared" si="35"/>
        <v>15</v>
      </c>
      <c r="AH27" s="74"/>
      <c r="AI27" s="212">
        <f t="shared" si="36"/>
        <v>0.85</v>
      </c>
      <c r="AJ27" s="163">
        <f t="shared" si="37"/>
        <v>0</v>
      </c>
      <c r="AK27" s="165">
        <f t="shared" si="57"/>
        <v>22</v>
      </c>
      <c r="AL27" s="221">
        <f t="shared" si="39"/>
        <v>7.5</v>
      </c>
      <c r="AM27" s="165">
        <f t="shared" si="39"/>
        <v>50</v>
      </c>
      <c r="AN27" s="166"/>
      <c r="AO27" s="163"/>
      <c r="AP27" s="165"/>
      <c r="AQ27" s="165"/>
      <c r="AR27" s="165"/>
      <c r="AS27" s="108">
        <f t="shared" si="40"/>
        <v>15</v>
      </c>
      <c r="AT27" s="150"/>
      <c r="AU27" s="212">
        <f t="shared" si="10"/>
        <v>1</v>
      </c>
      <c r="AV27" s="163">
        <f t="shared" si="41"/>
        <v>2780</v>
      </c>
      <c r="AW27" s="165">
        <f t="shared" si="42"/>
        <v>4</v>
      </c>
      <c r="AX27" s="74"/>
      <c r="AY27" s="167">
        <f t="shared" si="11"/>
        <v>0</v>
      </c>
      <c r="AZ27" s="167">
        <f t="shared" si="12"/>
        <v>0</v>
      </c>
      <c r="BA27" s="167">
        <f t="shared" si="13"/>
        <v>0</v>
      </c>
      <c r="BB27" s="167">
        <f t="shared" si="14"/>
        <v>0</v>
      </c>
      <c r="BC27" s="167">
        <f t="shared" si="15"/>
        <v>0</v>
      </c>
      <c r="BD27" s="167">
        <f t="shared" si="16"/>
        <v>0</v>
      </c>
      <c r="BE27" s="167">
        <f t="shared" si="17"/>
        <v>0</v>
      </c>
      <c r="BF27" s="167">
        <f t="shared" si="18"/>
        <v>0</v>
      </c>
      <c r="BG27" s="167">
        <f t="shared" si="19"/>
        <v>0</v>
      </c>
      <c r="BH27" s="167">
        <f t="shared" si="20"/>
        <v>11120</v>
      </c>
      <c r="BI27" s="110">
        <f t="shared" si="43"/>
        <v>0</v>
      </c>
      <c r="BJ27" s="110">
        <f t="shared" si="44"/>
        <v>0</v>
      </c>
      <c r="BK27" s="110">
        <f t="shared" si="45"/>
        <v>0</v>
      </c>
      <c r="BL27" s="150"/>
      <c r="BM27" s="168">
        <f t="shared" si="21"/>
        <v>0</v>
      </c>
      <c r="BN27" s="168">
        <f t="shared" si="22"/>
        <v>0</v>
      </c>
      <c r="BO27" s="168">
        <f t="shared" si="46"/>
        <v>11120</v>
      </c>
      <c r="BP27" s="111">
        <f t="shared" si="47"/>
        <v>0</v>
      </c>
      <c r="BR27" s="169">
        <f t="shared" si="48"/>
        <v>0</v>
      </c>
      <c r="BS27" s="169">
        <f t="shared" si="49"/>
        <v>0</v>
      </c>
      <c r="BU27" s="170">
        <f t="shared" si="50"/>
        <v>0</v>
      </c>
      <c r="BV27" s="170">
        <f t="shared" si="50"/>
        <v>0</v>
      </c>
      <c r="BW27" s="168">
        <f t="shared" si="51"/>
        <v>0</v>
      </c>
      <c r="BX27" s="169">
        <f t="shared" si="23"/>
        <v>0</v>
      </c>
      <c r="BY27" s="157"/>
      <c r="BZ27" s="168"/>
      <c r="CA27" s="169"/>
      <c r="CB27" s="157"/>
      <c r="CC27" s="127">
        <f t="shared" si="24"/>
        <v>0</v>
      </c>
      <c r="CD27" s="128">
        <f t="shared" si="25"/>
        <v>0</v>
      </c>
      <c r="CE27" s="117"/>
      <c r="CF27" s="127">
        <f t="shared" si="52"/>
        <v>11120</v>
      </c>
      <c r="CG27" s="117"/>
      <c r="CH27" s="230">
        <f t="shared" si="58"/>
        <v>6.95</v>
      </c>
      <c r="CJ27" s="230">
        <f t="shared" si="53"/>
        <v>0</v>
      </c>
    </row>
    <row r="28" spans="2:88" x14ac:dyDescent="0.2">
      <c r="B28" s="85"/>
      <c r="C28" s="86"/>
      <c r="D28" s="6"/>
      <c r="F28" s="3"/>
      <c r="G28" s="3"/>
      <c r="H28" s="40"/>
      <c r="I28" s="84"/>
      <c r="J28" s="70"/>
      <c r="K28" s="70"/>
      <c r="L28" s="70"/>
      <c r="M28" s="70"/>
      <c r="N28" s="84"/>
      <c r="O28" s="84"/>
      <c r="P28" s="84"/>
      <c r="Q28" s="87"/>
      <c r="R28" s="88"/>
      <c r="S28" s="88"/>
      <c r="T28" s="84"/>
      <c r="U28" s="178"/>
      <c r="V28" s="84"/>
      <c r="W28" s="75"/>
      <c r="X28" s="75"/>
      <c r="Y28" s="75"/>
      <c r="Z28" s="75"/>
      <c r="AA28" s="74"/>
      <c r="AB28" s="205"/>
      <c r="AC28" s="84"/>
      <c r="AD28" s="78"/>
      <c r="AE28" s="78"/>
      <c r="AF28" s="78"/>
      <c r="AG28" s="78"/>
      <c r="AH28" s="78"/>
      <c r="AI28" s="89"/>
      <c r="AJ28" s="84"/>
      <c r="AK28" s="78"/>
      <c r="AL28" s="222"/>
      <c r="AM28" s="78"/>
      <c r="AN28" s="89"/>
      <c r="AO28" s="84"/>
      <c r="AP28" s="78"/>
      <c r="AQ28" s="78"/>
      <c r="AR28" s="78"/>
      <c r="AS28" s="78"/>
      <c r="AT28" s="78"/>
      <c r="AU28" s="89"/>
      <c r="AV28" s="84"/>
      <c r="AW28" s="78"/>
      <c r="AX28" s="78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78"/>
      <c r="BM28" s="91"/>
      <c r="BN28" s="91"/>
      <c r="BO28" s="91"/>
      <c r="BP28" s="91"/>
      <c r="BR28" s="82"/>
      <c r="BS28" s="82"/>
      <c r="BU28" s="92"/>
      <c r="BV28" s="92"/>
      <c r="BW28" s="91"/>
      <c r="BX28" s="82"/>
      <c r="BY28" s="82"/>
      <c r="BZ28" s="91"/>
      <c r="CA28" s="82"/>
      <c r="CB28" s="82"/>
      <c r="CC28" s="91"/>
      <c r="CD28" s="82"/>
      <c r="CF28" s="91"/>
      <c r="CH28" s="228"/>
      <c r="CJ28" s="228">
        <f t="shared" si="53"/>
        <v>0</v>
      </c>
    </row>
    <row r="29" spans="2:88" x14ac:dyDescent="0.2">
      <c r="B29" s="322" t="s">
        <v>71</v>
      </c>
      <c r="C29" s="322"/>
      <c r="D29" s="322"/>
      <c r="F29" s="53">
        <f>SUM(F30:F35)</f>
        <v>12608.000000000004</v>
      </c>
      <c r="G29" s="53">
        <f>SUM(G30:G35)</f>
        <v>6277.2</v>
      </c>
      <c r="H29" s="53"/>
      <c r="I29" s="53">
        <f>SUM(I30:I35)</f>
        <v>0</v>
      </c>
      <c r="J29" s="53">
        <f>SUM(J30:J35)</f>
        <v>17006</v>
      </c>
      <c r="K29" s="53">
        <f>SUM(K30:K35)</f>
        <v>0</v>
      </c>
      <c r="L29" s="53">
        <f>SUM(L30:L35)</f>
        <v>12110</v>
      </c>
      <c r="M29" s="53"/>
      <c r="N29" s="53">
        <f>SUM(N30:N35)</f>
        <v>17006</v>
      </c>
      <c r="O29" s="53">
        <f>SUM(O30:O35)</f>
        <v>29116</v>
      </c>
      <c r="P29" s="55"/>
      <c r="Q29" s="56">
        <f>SUM(Q30:Q35)</f>
        <v>0</v>
      </c>
      <c r="R29" s="56">
        <f>SUM(R30:R35)</f>
        <v>0</v>
      </c>
      <c r="S29" s="56">
        <f>SUM(S30:S35)</f>
        <v>180.68875</v>
      </c>
      <c r="T29" s="55"/>
      <c r="U29" s="53"/>
      <c r="V29" s="53">
        <f>SUM(V30:V35)</f>
        <v>0</v>
      </c>
      <c r="W29" s="58"/>
      <c r="X29" s="58"/>
      <c r="Y29" s="58"/>
      <c r="Z29" s="58"/>
      <c r="AA29" s="59"/>
      <c r="AB29" s="207"/>
      <c r="AC29" s="53">
        <f>SUM(AC30:AC35)</f>
        <v>14455.099999999999</v>
      </c>
      <c r="AD29" s="53"/>
      <c r="AE29" s="53"/>
      <c r="AF29" s="53"/>
      <c r="AG29" s="53"/>
      <c r="AH29" s="55"/>
      <c r="AI29" s="57"/>
      <c r="AJ29" s="53">
        <f>SUM(AJ30:AJ35)</f>
        <v>0</v>
      </c>
      <c r="AK29" s="58"/>
      <c r="AL29" s="185"/>
      <c r="AM29" s="58"/>
      <c r="AN29" s="57"/>
      <c r="AO29" s="53">
        <v>0</v>
      </c>
      <c r="AP29" s="58">
        <f t="shared" ref="AP29:AR35" si="59">AP$13</f>
        <v>15</v>
      </c>
      <c r="AQ29" s="58">
        <f t="shared" si="59"/>
        <v>5</v>
      </c>
      <c r="AR29" s="58">
        <f t="shared" si="59"/>
        <v>20</v>
      </c>
      <c r="AS29" s="58"/>
      <c r="AT29" s="55"/>
      <c r="AU29" s="57"/>
      <c r="AV29" s="53">
        <f>SUM(AV30:AV35)</f>
        <v>12110</v>
      </c>
      <c r="AW29" s="58"/>
      <c r="AX29" s="60"/>
      <c r="AY29" s="61">
        <f t="shared" ref="AY29:BK29" si="60">SUM(AY30:AY35)</f>
        <v>0</v>
      </c>
      <c r="AZ29" s="61">
        <f t="shared" si="60"/>
        <v>2580855</v>
      </c>
      <c r="BA29" s="61">
        <f t="shared" si="60"/>
        <v>0</v>
      </c>
      <c r="BB29" s="61">
        <f t="shared" si="60"/>
        <v>0</v>
      </c>
      <c r="BC29" s="61">
        <f t="shared" si="60"/>
        <v>1217149</v>
      </c>
      <c r="BD29" s="61">
        <f t="shared" si="60"/>
        <v>0</v>
      </c>
      <c r="BE29" s="61">
        <f t="shared" si="60"/>
        <v>0</v>
      </c>
      <c r="BF29" s="61">
        <f t="shared" si="60"/>
        <v>1590545.5</v>
      </c>
      <c r="BG29" s="61">
        <f t="shared" si="60"/>
        <v>0</v>
      </c>
      <c r="BH29" s="61">
        <f t="shared" si="60"/>
        <v>48440</v>
      </c>
      <c r="BI29" s="61">
        <f t="shared" si="60"/>
        <v>0</v>
      </c>
      <c r="BJ29" s="61">
        <f t="shared" si="60"/>
        <v>216826.5</v>
      </c>
      <c r="BK29" s="61">
        <f t="shared" si="60"/>
        <v>0</v>
      </c>
      <c r="BL29" s="55"/>
      <c r="BM29" s="61">
        <f>SUM(BM30:BM35)</f>
        <v>170595</v>
      </c>
      <c r="BN29" s="61">
        <f>SUM(BN30:BN35)</f>
        <v>12019</v>
      </c>
      <c r="BO29" s="61">
        <f>SUM(BO30:BO35)</f>
        <v>1638985.5</v>
      </c>
      <c r="BP29" s="61">
        <f>SUM(BP30:BP35)</f>
        <v>36057</v>
      </c>
      <c r="BR29" s="62">
        <f>SUM(BR30:BR35)</f>
        <v>94.774999999999991</v>
      </c>
      <c r="BS29" s="62">
        <f>SUM(BS30:BS35)</f>
        <v>277.88789954337898</v>
      </c>
      <c r="BU29" s="58">
        <f>SUM(BU30:BU35)</f>
        <v>94.47777777777776</v>
      </c>
      <c r="BV29" s="58">
        <f>SUM(BV30:BV35)</f>
        <v>94.47777777777776</v>
      </c>
      <c r="BW29" s="61">
        <f>SUM(BW30:BW35)</f>
        <v>175161.79999999996</v>
      </c>
      <c r="BX29" s="62">
        <f>SUM(BX30:BX35)</f>
        <v>1436.0622222222221</v>
      </c>
      <c r="BY29" s="63"/>
      <c r="BZ29" s="61">
        <f>SUM(BZ30:BZ35)</f>
        <v>0</v>
      </c>
      <c r="CA29" s="62">
        <f>SUM(CA30:CA35)</f>
        <v>0</v>
      </c>
      <c r="CB29" s="63"/>
      <c r="CC29" s="61">
        <f>SUM(CC30:CC35)</f>
        <v>59268.800000000003</v>
      </c>
      <c r="CD29" s="62">
        <f>SUM(CD30:CD35)</f>
        <v>124.22096651445966</v>
      </c>
      <c r="CF29" s="61">
        <f>SUM(CF30:CF35)</f>
        <v>1873416.0999999999</v>
      </c>
      <c r="CH29" s="62">
        <f>SUM(CH30:CH35)</f>
        <v>72.789999999999992</v>
      </c>
      <c r="CJ29" s="62">
        <f t="shared" si="53"/>
        <v>255090</v>
      </c>
    </row>
    <row r="30" spans="2:88" s="117" customFormat="1" x14ac:dyDescent="0.2">
      <c r="B30" s="135" t="s">
        <v>72</v>
      </c>
      <c r="C30" s="136">
        <v>1</v>
      </c>
      <c r="D30" s="137" t="s">
        <v>69</v>
      </c>
      <c r="F30" s="138">
        <v>1562.6432167208311</v>
      </c>
      <c r="G30" s="138">
        <v>778</v>
      </c>
      <c r="H30" s="139">
        <v>1</v>
      </c>
      <c r="I30" s="138">
        <v>0</v>
      </c>
      <c r="J30" s="138">
        <v>778</v>
      </c>
      <c r="K30" s="138">
        <v>0</v>
      </c>
      <c r="L30" s="138">
        <v>0</v>
      </c>
      <c r="M30" s="138"/>
      <c r="N30" s="138">
        <v>778</v>
      </c>
      <c r="O30" s="138">
        <v>778</v>
      </c>
      <c r="P30" s="120"/>
      <c r="Q30" s="121">
        <f t="shared" ref="Q30:Q35" si="61">R30*2.2</f>
        <v>0</v>
      </c>
      <c r="R30" s="121">
        <f t="shared" ref="R30:R35" si="62">V30/110</f>
        <v>0</v>
      </c>
      <c r="S30" s="121">
        <f>(AC30*0.675/54)+(AJ30*0.675/40)</f>
        <v>8.2662499999999994</v>
      </c>
      <c r="T30" s="120"/>
      <c r="U30" s="215">
        <f t="shared" ref="U30:U35" si="63">$U$12</f>
        <v>0.9</v>
      </c>
      <c r="V30" s="138">
        <f t="shared" ref="V30:V35" si="64">U30*I30</f>
        <v>0</v>
      </c>
      <c r="W30" s="140">
        <v>200</v>
      </c>
      <c r="X30" s="140">
        <f t="shared" ref="X30:Z35" si="65">X$12</f>
        <v>10</v>
      </c>
      <c r="Y30" s="140">
        <f t="shared" si="65"/>
        <v>30</v>
      </c>
      <c r="Z30" s="108">
        <f t="shared" si="65"/>
        <v>5</v>
      </c>
      <c r="AA30" s="123"/>
      <c r="AB30" s="215">
        <f t="shared" ref="AB30:AB35" si="66">$AB$12</f>
        <v>0.85</v>
      </c>
      <c r="AC30" s="138">
        <f t="shared" ref="AC30:AC35" si="67">AB30*J30</f>
        <v>661.3</v>
      </c>
      <c r="AD30" s="140">
        <v>200</v>
      </c>
      <c r="AE30" s="140">
        <f>AE$12</f>
        <v>5</v>
      </c>
      <c r="AF30" s="140">
        <v>35</v>
      </c>
      <c r="AG30" s="108">
        <f t="shared" ref="AG30:AG35" si="68">$AG$12</f>
        <v>15</v>
      </c>
      <c r="AH30" s="123"/>
      <c r="AI30" s="215">
        <f>$AI$12</f>
        <v>0.85</v>
      </c>
      <c r="AJ30" s="138">
        <f t="shared" ref="AJ30:AJ35" si="69">AI30*K30</f>
        <v>0</v>
      </c>
      <c r="AK30" s="140">
        <v>250</v>
      </c>
      <c r="AL30" s="223">
        <f t="shared" ref="AL30:AM35" si="70">AL$12</f>
        <v>7.5</v>
      </c>
      <c r="AM30" s="140">
        <f t="shared" si="70"/>
        <v>50</v>
      </c>
      <c r="AN30" s="124">
        <v>0</v>
      </c>
      <c r="AO30" s="118">
        <v>0</v>
      </c>
      <c r="AP30" s="122">
        <f t="shared" si="59"/>
        <v>15</v>
      </c>
      <c r="AQ30" s="122">
        <f t="shared" si="59"/>
        <v>5</v>
      </c>
      <c r="AR30" s="122">
        <f t="shared" si="59"/>
        <v>20</v>
      </c>
      <c r="AS30" s="108">
        <f t="shared" ref="AS30:AS35" si="71">AS$12</f>
        <v>15</v>
      </c>
      <c r="AT30" s="125"/>
      <c r="AU30" s="215">
        <f>$AU$12</f>
        <v>1</v>
      </c>
      <c r="AV30" s="138">
        <f t="shared" ref="AV30:AV35" si="72">AU30*L30</f>
        <v>0</v>
      </c>
      <c r="AW30" s="140">
        <f t="shared" ref="AW30:AW35" si="73">AW$12</f>
        <v>4</v>
      </c>
      <c r="AX30" s="123"/>
      <c r="AY30" s="141">
        <f t="shared" ref="AY30:AY35" si="74">V30*W30</f>
        <v>0</v>
      </c>
      <c r="AZ30" s="141">
        <f t="shared" ref="AZ30:AZ35" si="75">AC30*AD30</f>
        <v>132260</v>
      </c>
      <c r="BA30" s="141">
        <f t="shared" ref="BA30:BA35" si="76">AJ30*AK30</f>
        <v>0</v>
      </c>
      <c r="BB30" s="141">
        <f t="shared" ref="BB30:BB35" si="77">V30*X30</f>
        <v>0</v>
      </c>
      <c r="BC30" s="141">
        <f t="shared" ref="BC30:BC35" si="78">AC30*AE30</f>
        <v>3306.5</v>
      </c>
      <c r="BD30" s="141">
        <f t="shared" ref="BD30:BD35" si="79">AJ30*AL30</f>
        <v>0</v>
      </c>
      <c r="BE30" s="141">
        <f t="shared" ref="BE30:BE35" si="80">V30*Y30</f>
        <v>0</v>
      </c>
      <c r="BF30" s="141">
        <f t="shared" ref="BF30:BF35" si="81">AC30*AF30</f>
        <v>23145.5</v>
      </c>
      <c r="BG30" s="141">
        <f t="shared" ref="BG30:BG35" si="82">+AJ30*AM30</f>
        <v>0</v>
      </c>
      <c r="BH30" s="141">
        <f t="shared" ref="BH30:BH35" si="83">+AV30*AW30</f>
        <v>0</v>
      </c>
      <c r="BI30" s="110">
        <f t="shared" ref="BI30:BI35" si="84">Z30*V30</f>
        <v>0</v>
      </c>
      <c r="BJ30" s="110">
        <f t="shared" ref="BJ30:BJ35" si="85">+AG30*AC30</f>
        <v>9919.5</v>
      </c>
      <c r="BK30" s="110">
        <f t="shared" ref="BK30:BK35" si="86">+AS30*AJ30</f>
        <v>0</v>
      </c>
      <c r="BL30" s="125"/>
      <c r="BM30" s="142">
        <f>AY30+AZ30+BA30</f>
        <v>132260</v>
      </c>
      <c r="BN30" s="142">
        <f>+BB30+BC30+BD30</f>
        <v>3306.5</v>
      </c>
      <c r="BO30" s="142">
        <f t="shared" ref="BO30:BO35" si="87">+BE30+BF30+BG30+BH30</f>
        <v>23145.5</v>
      </c>
      <c r="BP30" s="111">
        <f t="shared" ref="BP30:BP35" si="88">SUM(BI30:BK30)</f>
        <v>9919.5</v>
      </c>
      <c r="BR30" s="143">
        <f t="shared" ref="BR30:BR35" si="89">BM30/$BR$6</f>
        <v>73.477777777777774</v>
      </c>
      <c r="BS30" s="143">
        <f t="shared" ref="BS30:BS35" si="90">(BB30+BC30+BD30)/$BS$6</f>
        <v>0.75490867579908671</v>
      </c>
      <c r="BU30" s="144">
        <f t="shared" ref="BU30:BV35" si="91">($BU$3*$R30)+(($J30+$K30)/$BU$5*$BU$7)</f>
        <v>4.322222222222222</v>
      </c>
      <c r="BV30" s="144">
        <f t="shared" si="91"/>
        <v>4.322222222222222</v>
      </c>
      <c r="BW30" s="142">
        <f t="shared" ref="BW30:BW35" si="92">BV30*$BW$3*$BW$6</f>
        <v>8013.3999999999987</v>
      </c>
      <c r="BX30" s="143">
        <f t="shared" ref="BX30:BX35" si="93">(BU30*0.3*50+BU30*0.7*22)*$BX$6</f>
        <v>65.697777777777773</v>
      </c>
      <c r="BY30" s="130"/>
      <c r="BZ30" s="142"/>
      <c r="CA30" s="143"/>
      <c r="CB30" s="130"/>
      <c r="CC30" s="142">
        <f t="shared" ref="CC30:CC35" si="94">BM30/$CC$3+(BN30*(1-$CD$3)/$CC$6)</f>
        <v>44747.966666666667</v>
      </c>
      <c r="CD30" s="143">
        <f t="shared" ref="CD30:CD35" si="95">BR30/$CD$6+BS30/$CD$6</f>
        <v>24.744228817858954</v>
      </c>
      <c r="CF30" s="142">
        <f t="shared" ref="CF30:CF35" si="96">BE30+BF30+BG30+BH30+BW30+BZ30+CC30</f>
        <v>75906.866666666669</v>
      </c>
      <c r="CH30" s="231">
        <f t="shared" ref="CH30:CH35" si="97">$CH$6*O30/1000</f>
        <v>1.9450000000000001</v>
      </c>
      <c r="CJ30" s="231">
        <f t="shared" si="53"/>
        <v>11670</v>
      </c>
    </row>
    <row r="31" spans="2:88" s="117" customFormat="1" x14ac:dyDescent="0.2">
      <c r="B31" s="135" t="s">
        <v>73</v>
      </c>
      <c r="C31" s="136">
        <v>2</v>
      </c>
      <c r="D31" s="137" t="s">
        <v>69</v>
      </c>
      <c r="F31" s="138">
        <v>3691.6943860319889</v>
      </c>
      <c r="G31" s="138">
        <v>1838</v>
      </c>
      <c r="H31" s="139">
        <v>4</v>
      </c>
      <c r="I31" s="138">
        <v>0</v>
      </c>
      <c r="J31" s="138">
        <v>13000</v>
      </c>
      <c r="K31" s="138">
        <v>0</v>
      </c>
      <c r="L31" s="138">
        <v>0</v>
      </c>
      <c r="M31" s="138"/>
      <c r="N31" s="138">
        <v>13000</v>
      </c>
      <c r="O31" s="138">
        <v>13000</v>
      </c>
      <c r="P31" s="120"/>
      <c r="Q31" s="121">
        <f t="shared" si="61"/>
        <v>0</v>
      </c>
      <c r="R31" s="121">
        <f t="shared" si="62"/>
        <v>0</v>
      </c>
      <c r="S31" s="121">
        <f t="shared" ref="S31:S35" si="98">(AC31*0.675/54)+(AJ31*0.675/40)</f>
        <v>138.12500000000003</v>
      </c>
      <c r="T31" s="120"/>
      <c r="U31" s="215">
        <f t="shared" si="63"/>
        <v>0.9</v>
      </c>
      <c r="V31" s="138">
        <f t="shared" si="64"/>
        <v>0</v>
      </c>
      <c r="W31" s="140">
        <v>200</v>
      </c>
      <c r="X31" s="140">
        <f t="shared" si="65"/>
        <v>10</v>
      </c>
      <c r="Y31" s="140">
        <f t="shared" si="65"/>
        <v>30</v>
      </c>
      <c r="Z31" s="108">
        <f t="shared" si="65"/>
        <v>5</v>
      </c>
      <c r="AA31" s="123"/>
      <c r="AB31" s="215">
        <f t="shared" si="66"/>
        <v>0.85</v>
      </c>
      <c r="AC31" s="138">
        <f t="shared" si="67"/>
        <v>11050</v>
      </c>
      <c r="AD31" s="140">
        <v>200</v>
      </c>
      <c r="AE31" s="140">
        <v>100</v>
      </c>
      <c r="AF31" s="140">
        <v>125</v>
      </c>
      <c r="AG31" s="108">
        <f t="shared" si="68"/>
        <v>15</v>
      </c>
      <c r="AH31" s="123"/>
      <c r="AI31" s="215">
        <f t="shared" ref="AI31:AI35" si="99">$AI$12</f>
        <v>0.85</v>
      </c>
      <c r="AJ31" s="138">
        <f t="shared" si="69"/>
        <v>0</v>
      </c>
      <c r="AK31" s="140">
        <v>200</v>
      </c>
      <c r="AL31" s="223">
        <f t="shared" si="70"/>
        <v>7.5</v>
      </c>
      <c r="AM31" s="140">
        <f t="shared" si="70"/>
        <v>50</v>
      </c>
      <c r="AN31" s="124">
        <v>0</v>
      </c>
      <c r="AO31" s="118">
        <v>0</v>
      </c>
      <c r="AP31" s="122">
        <f t="shared" si="59"/>
        <v>15</v>
      </c>
      <c r="AQ31" s="122">
        <f t="shared" si="59"/>
        <v>5</v>
      </c>
      <c r="AR31" s="122">
        <f t="shared" si="59"/>
        <v>20</v>
      </c>
      <c r="AS31" s="108">
        <f t="shared" si="71"/>
        <v>15</v>
      </c>
      <c r="AT31" s="125"/>
      <c r="AU31" s="215">
        <f t="shared" ref="AU31:AU35" si="100">$AU$12</f>
        <v>1</v>
      </c>
      <c r="AV31" s="138">
        <f t="shared" si="72"/>
        <v>0</v>
      </c>
      <c r="AW31" s="140">
        <f t="shared" si="73"/>
        <v>4</v>
      </c>
      <c r="AX31" s="123"/>
      <c r="AY31" s="141">
        <f t="shared" si="74"/>
        <v>0</v>
      </c>
      <c r="AZ31" s="141">
        <f t="shared" si="75"/>
        <v>2210000</v>
      </c>
      <c r="BA31" s="141">
        <f t="shared" si="76"/>
        <v>0</v>
      </c>
      <c r="BB31" s="141">
        <f t="shared" si="77"/>
        <v>0</v>
      </c>
      <c r="BC31" s="141">
        <f t="shared" si="78"/>
        <v>1105000</v>
      </c>
      <c r="BD31" s="141">
        <f t="shared" si="79"/>
        <v>0</v>
      </c>
      <c r="BE31" s="141">
        <f t="shared" si="80"/>
        <v>0</v>
      </c>
      <c r="BF31" s="141">
        <f t="shared" si="81"/>
        <v>1381250</v>
      </c>
      <c r="BG31" s="141">
        <f t="shared" si="82"/>
        <v>0</v>
      </c>
      <c r="BH31" s="141">
        <f t="shared" si="83"/>
        <v>0</v>
      </c>
      <c r="BI31" s="110">
        <f t="shared" si="84"/>
        <v>0</v>
      </c>
      <c r="BJ31" s="110">
        <f t="shared" si="85"/>
        <v>165750</v>
      </c>
      <c r="BK31" s="110">
        <f t="shared" si="86"/>
        <v>0</v>
      </c>
      <c r="BL31" s="125"/>
      <c r="BM31" s="142"/>
      <c r="BN31" s="142"/>
      <c r="BO31" s="142">
        <f t="shared" si="87"/>
        <v>1381250</v>
      </c>
      <c r="BP31" s="111"/>
      <c r="BR31" s="143">
        <f t="shared" si="89"/>
        <v>0</v>
      </c>
      <c r="BS31" s="143">
        <f t="shared" si="90"/>
        <v>252.28310502283105</v>
      </c>
      <c r="BU31" s="144">
        <f t="shared" si="91"/>
        <v>72.222222222222214</v>
      </c>
      <c r="BV31" s="144">
        <f t="shared" si="91"/>
        <v>72.222222222222214</v>
      </c>
      <c r="BW31" s="142">
        <f t="shared" si="92"/>
        <v>133899.99999999997</v>
      </c>
      <c r="BX31" s="143">
        <f t="shared" si="93"/>
        <v>1097.7777777777778</v>
      </c>
      <c r="BY31" s="130"/>
      <c r="BZ31" s="142"/>
      <c r="CA31" s="143"/>
      <c r="CB31" s="130"/>
      <c r="CC31" s="142">
        <f t="shared" si="94"/>
        <v>0</v>
      </c>
      <c r="CD31" s="143">
        <f t="shared" si="95"/>
        <v>84.094368340943689</v>
      </c>
      <c r="CF31" s="142">
        <f t="shared" si="96"/>
        <v>1515150</v>
      </c>
      <c r="CH31" s="231">
        <f t="shared" si="97"/>
        <v>32.5</v>
      </c>
      <c r="CJ31" s="231">
        <f t="shared" si="53"/>
        <v>195000</v>
      </c>
    </row>
    <row r="32" spans="2:88" s="117" customFormat="1" x14ac:dyDescent="0.2">
      <c r="B32" s="135" t="s">
        <v>73</v>
      </c>
      <c r="C32" s="136">
        <v>3</v>
      </c>
      <c r="D32" s="137" t="s">
        <v>69</v>
      </c>
      <c r="F32" s="138">
        <v>350.2891735168547</v>
      </c>
      <c r="G32" s="138">
        <v>174.4</v>
      </c>
      <c r="H32" s="139">
        <v>3</v>
      </c>
      <c r="I32" s="138">
        <v>0</v>
      </c>
      <c r="J32" s="138">
        <v>523.20000000000005</v>
      </c>
      <c r="K32" s="138">
        <v>0</v>
      </c>
      <c r="L32" s="138">
        <v>0</v>
      </c>
      <c r="M32" s="138"/>
      <c r="N32" s="138">
        <v>523.20000000000005</v>
      </c>
      <c r="O32" s="138">
        <v>523.20000000000005</v>
      </c>
      <c r="P32" s="120"/>
      <c r="Q32" s="121">
        <f t="shared" si="61"/>
        <v>0</v>
      </c>
      <c r="R32" s="121">
        <f t="shared" si="62"/>
        <v>0</v>
      </c>
      <c r="S32" s="121">
        <f t="shared" si="98"/>
        <v>5.5590000000000011</v>
      </c>
      <c r="T32" s="120"/>
      <c r="U32" s="215">
        <f t="shared" si="63"/>
        <v>0.9</v>
      </c>
      <c r="V32" s="138">
        <f t="shared" si="64"/>
        <v>0</v>
      </c>
      <c r="W32" s="140">
        <v>200</v>
      </c>
      <c r="X32" s="140">
        <f t="shared" si="65"/>
        <v>10</v>
      </c>
      <c r="Y32" s="140">
        <f t="shared" si="65"/>
        <v>30</v>
      </c>
      <c r="Z32" s="108">
        <f t="shared" si="65"/>
        <v>5</v>
      </c>
      <c r="AA32" s="123"/>
      <c r="AB32" s="215">
        <f t="shared" si="66"/>
        <v>0.85</v>
      </c>
      <c r="AC32" s="138">
        <f t="shared" si="67"/>
        <v>444.72</v>
      </c>
      <c r="AD32" s="140">
        <v>200</v>
      </c>
      <c r="AE32" s="140">
        <v>100</v>
      </c>
      <c r="AF32" s="140">
        <v>125</v>
      </c>
      <c r="AG32" s="108">
        <f t="shared" si="68"/>
        <v>15</v>
      </c>
      <c r="AH32" s="123"/>
      <c r="AI32" s="215">
        <f>$AI$12</f>
        <v>0.85</v>
      </c>
      <c r="AJ32" s="138">
        <f t="shared" si="69"/>
        <v>0</v>
      </c>
      <c r="AK32" s="140">
        <v>200</v>
      </c>
      <c r="AL32" s="223">
        <f t="shared" si="70"/>
        <v>7.5</v>
      </c>
      <c r="AM32" s="140">
        <f t="shared" si="70"/>
        <v>50</v>
      </c>
      <c r="AN32" s="124">
        <v>0</v>
      </c>
      <c r="AO32" s="118">
        <v>0</v>
      </c>
      <c r="AP32" s="122">
        <f t="shared" si="59"/>
        <v>15</v>
      </c>
      <c r="AQ32" s="122">
        <f t="shared" si="59"/>
        <v>5</v>
      </c>
      <c r="AR32" s="122">
        <f t="shared" si="59"/>
        <v>20</v>
      </c>
      <c r="AS32" s="108">
        <f t="shared" si="71"/>
        <v>15</v>
      </c>
      <c r="AT32" s="125"/>
      <c r="AU32" s="215">
        <f t="shared" si="100"/>
        <v>1</v>
      </c>
      <c r="AV32" s="138">
        <f t="shared" si="72"/>
        <v>0</v>
      </c>
      <c r="AW32" s="140">
        <f t="shared" si="73"/>
        <v>4</v>
      </c>
      <c r="AX32" s="123"/>
      <c r="AY32" s="141">
        <f t="shared" si="74"/>
        <v>0</v>
      </c>
      <c r="AZ32" s="141">
        <f t="shared" si="75"/>
        <v>88944</v>
      </c>
      <c r="BA32" s="141">
        <f t="shared" si="76"/>
        <v>0</v>
      </c>
      <c r="BB32" s="141">
        <f t="shared" si="77"/>
        <v>0</v>
      </c>
      <c r="BC32" s="141">
        <f t="shared" si="78"/>
        <v>44472</v>
      </c>
      <c r="BD32" s="141">
        <f t="shared" si="79"/>
        <v>0</v>
      </c>
      <c r="BE32" s="141">
        <f t="shared" si="80"/>
        <v>0</v>
      </c>
      <c r="BF32" s="141">
        <f t="shared" si="81"/>
        <v>55590</v>
      </c>
      <c r="BG32" s="141">
        <f t="shared" si="82"/>
        <v>0</v>
      </c>
      <c r="BH32" s="141">
        <f t="shared" si="83"/>
        <v>0</v>
      </c>
      <c r="BI32" s="110">
        <f t="shared" si="84"/>
        <v>0</v>
      </c>
      <c r="BJ32" s="110">
        <f t="shared" si="85"/>
        <v>6670.8</v>
      </c>
      <c r="BK32" s="110">
        <f t="shared" si="86"/>
        <v>0</v>
      </c>
      <c r="BL32" s="125"/>
      <c r="BM32" s="142"/>
      <c r="BN32" s="142"/>
      <c r="BO32" s="142">
        <f t="shared" si="87"/>
        <v>55590</v>
      </c>
      <c r="BP32" s="111"/>
      <c r="BR32" s="143">
        <f t="shared" si="89"/>
        <v>0</v>
      </c>
      <c r="BS32" s="143">
        <f t="shared" si="90"/>
        <v>10.153424657534247</v>
      </c>
      <c r="BU32" s="144">
        <f t="shared" si="91"/>
        <v>2.9066666666666667</v>
      </c>
      <c r="BV32" s="144">
        <f t="shared" si="91"/>
        <v>2.9066666666666667</v>
      </c>
      <c r="BW32" s="142">
        <f t="shared" si="92"/>
        <v>5388.96</v>
      </c>
      <c r="BX32" s="143">
        <f t="shared" si="93"/>
        <v>44.181333333333328</v>
      </c>
      <c r="BY32" s="130"/>
      <c r="BZ32" s="142"/>
      <c r="CA32" s="143"/>
      <c r="CB32" s="130"/>
      <c r="CC32" s="142">
        <f t="shared" si="94"/>
        <v>0</v>
      </c>
      <c r="CD32" s="143">
        <f t="shared" si="95"/>
        <v>3.3844748858447491</v>
      </c>
      <c r="CF32" s="142">
        <f t="shared" si="96"/>
        <v>60978.96</v>
      </c>
      <c r="CH32" s="231">
        <f t="shared" si="97"/>
        <v>1.3080000000000001</v>
      </c>
      <c r="CJ32" s="231">
        <f t="shared" si="53"/>
        <v>7848.0000000000009</v>
      </c>
    </row>
    <row r="33" spans="2:88" s="117" customFormat="1" x14ac:dyDescent="0.2">
      <c r="B33" s="135" t="s">
        <v>73</v>
      </c>
      <c r="C33" s="136">
        <v>4</v>
      </c>
      <c r="D33" s="137" t="s">
        <v>69</v>
      </c>
      <c r="F33" s="138">
        <v>1315.1912317593831</v>
      </c>
      <c r="G33" s="138">
        <v>654.79999999999995</v>
      </c>
      <c r="H33" s="139">
        <v>1</v>
      </c>
      <c r="I33" s="138">
        <v>0</v>
      </c>
      <c r="J33" s="138">
        <v>654.79999999999995</v>
      </c>
      <c r="K33" s="138">
        <v>0</v>
      </c>
      <c r="L33" s="138">
        <v>0</v>
      </c>
      <c r="M33" s="138"/>
      <c r="N33" s="138">
        <v>654.79999999999995</v>
      </c>
      <c r="O33" s="138">
        <v>654.79999999999995</v>
      </c>
      <c r="P33" s="120"/>
      <c r="Q33" s="121">
        <f t="shared" si="61"/>
        <v>0</v>
      </c>
      <c r="R33" s="121">
        <f t="shared" si="62"/>
        <v>0</v>
      </c>
      <c r="S33" s="121">
        <f t="shared" si="98"/>
        <v>6.9572499999999993</v>
      </c>
      <c r="T33" s="120"/>
      <c r="U33" s="215">
        <f t="shared" si="63"/>
        <v>0.9</v>
      </c>
      <c r="V33" s="138">
        <f t="shared" si="64"/>
        <v>0</v>
      </c>
      <c r="W33" s="140">
        <v>200</v>
      </c>
      <c r="X33" s="140">
        <f t="shared" si="65"/>
        <v>10</v>
      </c>
      <c r="Y33" s="140">
        <f t="shared" si="65"/>
        <v>30</v>
      </c>
      <c r="Z33" s="108">
        <f t="shared" si="65"/>
        <v>5</v>
      </c>
      <c r="AA33" s="123"/>
      <c r="AB33" s="215">
        <f t="shared" si="66"/>
        <v>0.85</v>
      </c>
      <c r="AC33" s="138">
        <f t="shared" si="67"/>
        <v>556.57999999999993</v>
      </c>
      <c r="AD33" s="140">
        <v>200</v>
      </c>
      <c r="AE33" s="140">
        <v>100</v>
      </c>
      <c r="AF33" s="140">
        <v>125</v>
      </c>
      <c r="AG33" s="108">
        <f t="shared" si="68"/>
        <v>15</v>
      </c>
      <c r="AH33" s="123"/>
      <c r="AI33" s="215">
        <f t="shared" si="99"/>
        <v>0.85</v>
      </c>
      <c r="AJ33" s="138">
        <f t="shared" si="69"/>
        <v>0</v>
      </c>
      <c r="AK33" s="140">
        <v>200</v>
      </c>
      <c r="AL33" s="223">
        <f t="shared" si="70"/>
        <v>7.5</v>
      </c>
      <c r="AM33" s="140">
        <f t="shared" si="70"/>
        <v>50</v>
      </c>
      <c r="AN33" s="124">
        <v>0</v>
      </c>
      <c r="AO33" s="118">
        <v>0</v>
      </c>
      <c r="AP33" s="122">
        <f t="shared" si="59"/>
        <v>15</v>
      </c>
      <c r="AQ33" s="122">
        <f t="shared" si="59"/>
        <v>5</v>
      </c>
      <c r="AR33" s="122">
        <f t="shared" si="59"/>
        <v>20</v>
      </c>
      <c r="AS33" s="108">
        <f t="shared" si="71"/>
        <v>15</v>
      </c>
      <c r="AT33" s="125"/>
      <c r="AU33" s="215">
        <f t="shared" si="100"/>
        <v>1</v>
      </c>
      <c r="AV33" s="138">
        <f t="shared" si="72"/>
        <v>0</v>
      </c>
      <c r="AW33" s="140">
        <f t="shared" si="73"/>
        <v>4</v>
      </c>
      <c r="AX33" s="123"/>
      <c r="AY33" s="141">
        <f t="shared" si="74"/>
        <v>0</v>
      </c>
      <c r="AZ33" s="141">
        <f t="shared" si="75"/>
        <v>111315.99999999999</v>
      </c>
      <c r="BA33" s="141">
        <f t="shared" si="76"/>
        <v>0</v>
      </c>
      <c r="BB33" s="141">
        <f t="shared" si="77"/>
        <v>0</v>
      </c>
      <c r="BC33" s="141">
        <f t="shared" si="78"/>
        <v>55657.999999999993</v>
      </c>
      <c r="BD33" s="141">
        <f t="shared" si="79"/>
        <v>0</v>
      </c>
      <c r="BE33" s="141">
        <f t="shared" si="80"/>
        <v>0</v>
      </c>
      <c r="BF33" s="141">
        <f t="shared" si="81"/>
        <v>69572.499999999985</v>
      </c>
      <c r="BG33" s="141">
        <f t="shared" si="82"/>
        <v>0</v>
      </c>
      <c r="BH33" s="141">
        <f t="shared" si="83"/>
        <v>0</v>
      </c>
      <c r="BI33" s="110">
        <f t="shared" si="84"/>
        <v>0</v>
      </c>
      <c r="BJ33" s="110">
        <f t="shared" si="85"/>
        <v>8348.6999999999989</v>
      </c>
      <c r="BK33" s="110">
        <f t="shared" si="86"/>
        <v>0</v>
      </c>
      <c r="BL33" s="125"/>
      <c r="BM33" s="142"/>
      <c r="BN33" s="142"/>
      <c r="BO33" s="142">
        <f t="shared" si="87"/>
        <v>69572.499999999985</v>
      </c>
      <c r="BP33" s="111"/>
      <c r="BR33" s="143">
        <f t="shared" si="89"/>
        <v>0</v>
      </c>
      <c r="BS33" s="143">
        <f t="shared" si="90"/>
        <v>12.707305936073057</v>
      </c>
      <c r="BU33" s="144">
        <f t="shared" si="91"/>
        <v>3.6377777777777771</v>
      </c>
      <c r="BV33" s="144">
        <f t="shared" si="91"/>
        <v>3.6377777777777771</v>
      </c>
      <c r="BW33" s="142">
        <f t="shared" si="92"/>
        <v>6744.4399999999978</v>
      </c>
      <c r="BX33" s="143">
        <f t="shared" si="93"/>
        <v>55.294222222222203</v>
      </c>
      <c r="BY33" s="130"/>
      <c r="BZ33" s="142"/>
      <c r="CA33" s="143"/>
      <c r="CB33" s="130"/>
      <c r="CC33" s="142">
        <f t="shared" si="94"/>
        <v>0</v>
      </c>
      <c r="CD33" s="143">
        <f t="shared" si="95"/>
        <v>4.2357686453576857</v>
      </c>
      <c r="CF33" s="142">
        <f t="shared" si="96"/>
        <v>76316.939999999988</v>
      </c>
      <c r="CH33" s="231">
        <f t="shared" si="97"/>
        <v>1.637</v>
      </c>
      <c r="CJ33" s="231">
        <f t="shared" si="53"/>
        <v>9822</v>
      </c>
    </row>
    <row r="34" spans="2:88" s="147" customFormat="1" x14ac:dyDescent="0.2">
      <c r="B34" s="216"/>
      <c r="C34" s="145">
        <v>5</v>
      </c>
      <c r="D34" s="146" t="s">
        <v>74</v>
      </c>
      <c r="F34" s="148">
        <v>4864.6810679920991</v>
      </c>
      <c r="G34" s="148">
        <v>2422</v>
      </c>
      <c r="H34" s="149">
        <v>5</v>
      </c>
      <c r="I34" s="148">
        <v>0</v>
      </c>
      <c r="J34" s="148">
        <v>0</v>
      </c>
      <c r="K34" s="148">
        <v>0</v>
      </c>
      <c r="L34" s="148">
        <v>12110</v>
      </c>
      <c r="M34" s="148"/>
      <c r="N34" s="148">
        <v>0</v>
      </c>
      <c r="O34" s="148">
        <v>12110</v>
      </c>
      <c r="P34" s="150"/>
      <c r="Q34" s="151">
        <f t="shared" si="61"/>
        <v>0</v>
      </c>
      <c r="R34" s="151">
        <f t="shared" si="62"/>
        <v>0</v>
      </c>
      <c r="S34" s="151">
        <f t="shared" si="98"/>
        <v>0</v>
      </c>
      <c r="T34" s="150"/>
      <c r="U34" s="213">
        <f t="shared" si="63"/>
        <v>0.9</v>
      </c>
      <c r="V34" s="148">
        <f t="shared" si="64"/>
        <v>0</v>
      </c>
      <c r="W34" s="152">
        <f t="shared" ref="W34" si="101">$W$12</f>
        <v>22</v>
      </c>
      <c r="X34" s="152">
        <f t="shared" si="65"/>
        <v>10</v>
      </c>
      <c r="Y34" s="152">
        <f t="shared" si="65"/>
        <v>30</v>
      </c>
      <c r="Z34" s="108">
        <f t="shared" si="65"/>
        <v>5</v>
      </c>
      <c r="AA34" s="74"/>
      <c r="AB34" s="213">
        <f t="shared" si="66"/>
        <v>0.85</v>
      </c>
      <c r="AC34" s="148">
        <f t="shared" si="67"/>
        <v>0</v>
      </c>
      <c r="AD34" s="152">
        <f t="shared" ref="AD34:AD35" si="102">$AD$12</f>
        <v>22</v>
      </c>
      <c r="AE34" s="152">
        <f t="shared" ref="AE34:AF35" si="103">AE$12</f>
        <v>5</v>
      </c>
      <c r="AF34" s="152">
        <f t="shared" si="103"/>
        <v>35</v>
      </c>
      <c r="AG34" s="108">
        <f t="shared" si="68"/>
        <v>15</v>
      </c>
      <c r="AH34" s="74"/>
      <c r="AI34" s="213">
        <f t="shared" si="99"/>
        <v>0.85</v>
      </c>
      <c r="AJ34" s="148">
        <f t="shared" si="69"/>
        <v>0</v>
      </c>
      <c r="AK34" s="152">
        <f t="shared" ref="AK34:AK35" si="104">$AK$12</f>
        <v>22</v>
      </c>
      <c r="AL34" s="224">
        <f t="shared" si="70"/>
        <v>7.5</v>
      </c>
      <c r="AM34" s="152">
        <f t="shared" si="70"/>
        <v>50</v>
      </c>
      <c r="AN34" s="166">
        <v>0</v>
      </c>
      <c r="AO34" s="163">
        <v>0</v>
      </c>
      <c r="AP34" s="165">
        <f t="shared" si="59"/>
        <v>15</v>
      </c>
      <c r="AQ34" s="165">
        <f t="shared" si="59"/>
        <v>5</v>
      </c>
      <c r="AR34" s="165">
        <f t="shared" si="59"/>
        <v>20</v>
      </c>
      <c r="AS34" s="108">
        <f t="shared" si="71"/>
        <v>15</v>
      </c>
      <c r="AT34" s="171"/>
      <c r="AU34" s="213">
        <f t="shared" si="100"/>
        <v>1</v>
      </c>
      <c r="AV34" s="148">
        <f t="shared" si="72"/>
        <v>12110</v>
      </c>
      <c r="AW34" s="152">
        <f t="shared" si="73"/>
        <v>4</v>
      </c>
      <c r="AX34" s="74"/>
      <c r="AY34" s="153">
        <f t="shared" si="74"/>
        <v>0</v>
      </c>
      <c r="AZ34" s="153">
        <f t="shared" si="75"/>
        <v>0</v>
      </c>
      <c r="BA34" s="153">
        <f t="shared" si="76"/>
        <v>0</v>
      </c>
      <c r="BB34" s="153">
        <f t="shared" si="77"/>
        <v>0</v>
      </c>
      <c r="BC34" s="153">
        <f t="shared" si="78"/>
        <v>0</v>
      </c>
      <c r="BD34" s="153">
        <f t="shared" si="79"/>
        <v>0</v>
      </c>
      <c r="BE34" s="153">
        <f t="shared" si="80"/>
        <v>0</v>
      </c>
      <c r="BF34" s="153">
        <f t="shared" si="81"/>
        <v>0</v>
      </c>
      <c r="BG34" s="153">
        <f t="shared" si="82"/>
        <v>0</v>
      </c>
      <c r="BH34" s="153">
        <f t="shared" si="83"/>
        <v>48440</v>
      </c>
      <c r="BI34" s="110">
        <f t="shared" si="84"/>
        <v>0</v>
      </c>
      <c r="BJ34" s="110">
        <f t="shared" si="85"/>
        <v>0</v>
      </c>
      <c r="BK34" s="110">
        <f t="shared" si="86"/>
        <v>0</v>
      </c>
      <c r="BL34" s="171"/>
      <c r="BM34" s="154">
        <f>AY34+AZ34+BA34</f>
        <v>0</v>
      </c>
      <c r="BN34" s="154">
        <f>+BB34+BC34+BD34</f>
        <v>0</v>
      </c>
      <c r="BO34" s="154">
        <f t="shared" si="87"/>
        <v>48440</v>
      </c>
      <c r="BP34" s="111">
        <f t="shared" si="88"/>
        <v>0</v>
      </c>
      <c r="BR34" s="155">
        <f t="shared" si="89"/>
        <v>0</v>
      </c>
      <c r="BS34" s="155">
        <f t="shared" si="90"/>
        <v>0</v>
      </c>
      <c r="BU34" s="156">
        <f t="shared" si="91"/>
        <v>0</v>
      </c>
      <c r="BV34" s="156">
        <f t="shared" si="91"/>
        <v>0</v>
      </c>
      <c r="BW34" s="154">
        <f t="shared" si="92"/>
        <v>0</v>
      </c>
      <c r="BX34" s="155">
        <f t="shared" si="93"/>
        <v>0</v>
      </c>
      <c r="BY34" s="157"/>
      <c r="BZ34" s="154"/>
      <c r="CA34" s="155"/>
      <c r="CB34" s="157"/>
      <c r="CC34" s="154">
        <f t="shared" si="94"/>
        <v>0</v>
      </c>
      <c r="CD34" s="155">
        <f t="shared" si="95"/>
        <v>0</v>
      </c>
      <c r="CF34" s="154">
        <f t="shared" si="96"/>
        <v>48440</v>
      </c>
      <c r="CH34" s="232">
        <f t="shared" si="97"/>
        <v>30.274999999999999</v>
      </c>
      <c r="CJ34" s="232">
        <f t="shared" si="53"/>
        <v>0</v>
      </c>
    </row>
    <row r="35" spans="2:88" x14ac:dyDescent="0.2">
      <c r="B35" s="64"/>
      <c r="C35" s="65">
        <v>6</v>
      </c>
      <c r="D35" s="66" t="s">
        <v>93</v>
      </c>
      <c r="F35" s="67">
        <v>823.50092397884418</v>
      </c>
      <c r="G35" s="67">
        <v>410</v>
      </c>
      <c r="H35" s="69">
        <v>5</v>
      </c>
      <c r="I35" s="68">
        <v>0</v>
      </c>
      <c r="J35" s="67">
        <v>2050</v>
      </c>
      <c r="K35" s="68">
        <v>0</v>
      </c>
      <c r="L35" s="68">
        <v>0</v>
      </c>
      <c r="M35" s="68"/>
      <c r="N35" s="67">
        <v>2050</v>
      </c>
      <c r="O35" s="67">
        <v>2050</v>
      </c>
      <c r="P35" s="70"/>
      <c r="Q35" s="71">
        <f t="shared" si="61"/>
        <v>0</v>
      </c>
      <c r="R35" s="71">
        <f t="shared" si="62"/>
        <v>0</v>
      </c>
      <c r="S35" s="71">
        <f t="shared" si="98"/>
        <v>21.78125</v>
      </c>
      <c r="T35" s="70"/>
      <c r="U35" s="204">
        <f t="shared" si="63"/>
        <v>0.9</v>
      </c>
      <c r="V35" s="68">
        <f t="shared" si="64"/>
        <v>0</v>
      </c>
      <c r="W35" s="73">
        <f>$W$12</f>
        <v>22</v>
      </c>
      <c r="X35" s="73">
        <f t="shared" si="65"/>
        <v>10</v>
      </c>
      <c r="Y35" s="73">
        <f t="shared" si="65"/>
        <v>30</v>
      </c>
      <c r="Z35" s="108">
        <f t="shared" si="65"/>
        <v>5</v>
      </c>
      <c r="AA35" s="74"/>
      <c r="AB35" s="204">
        <f t="shared" si="66"/>
        <v>0.85</v>
      </c>
      <c r="AC35" s="68">
        <f t="shared" si="67"/>
        <v>1742.5</v>
      </c>
      <c r="AD35" s="73">
        <f t="shared" si="102"/>
        <v>22</v>
      </c>
      <c r="AE35" s="73">
        <f t="shared" si="103"/>
        <v>5</v>
      </c>
      <c r="AF35" s="73">
        <f t="shared" si="103"/>
        <v>35</v>
      </c>
      <c r="AG35" s="108">
        <f t="shared" si="68"/>
        <v>15</v>
      </c>
      <c r="AH35" s="75"/>
      <c r="AI35" s="204">
        <f t="shared" si="99"/>
        <v>0.85</v>
      </c>
      <c r="AJ35" s="68">
        <f t="shared" si="69"/>
        <v>0</v>
      </c>
      <c r="AK35" s="73">
        <f t="shared" si="104"/>
        <v>22</v>
      </c>
      <c r="AL35" s="225">
        <f t="shared" si="70"/>
        <v>7.5</v>
      </c>
      <c r="AM35" s="73">
        <f t="shared" si="70"/>
        <v>50</v>
      </c>
      <c r="AN35" s="83">
        <v>0</v>
      </c>
      <c r="AO35" s="68">
        <v>0</v>
      </c>
      <c r="AP35" s="73">
        <f t="shared" si="59"/>
        <v>15</v>
      </c>
      <c r="AQ35" s="73">
        <f t="shared" si="59"/>
        <v>5</v>
      </c>
      <c r="AR35" s="73">
        <f t="shared" si="59"/>
        <v>20</v>
      </c>
      <c r="AS35" s="108">
        <f t="shared" si="71"/>
        <v>15</v>
      </c>
      <c r="AT35" s="78"/>
      <c r="AU35" s="204">
        <f t="shared" si="100"/>
        <v>1</v>
      </c>
      <c r="AV35" s="68">
        <f t="shared" si="72"/>
        <v>0</v>
      </c>
      <c r="AW35" s="73">
        <f t="shared" si="73"/>
        <v>4</v>
      </c>
      <c r="AX35" s="75"/>
      <c r="AY35" s="77">
        <f t="shared" si="74"/>
        <v>0</v>
      </c>
      <c r="AZ35" s="77">
        <f t="shared" si="75"/>
        <v>38335</v>
      </c>
      <c r="BA35" s="77">
        <f t="shared" si="76"/>
        <v>0</v>
      </c>
      <c r="BB35" s="77">
        <f t="shared" si="77"/>
        <v>0</v>
      </c>
      <c r="BC35" s="77">
        <f t="shared" si="78"/>
        <v>8712.5</v>
      </c>
      <c r="BD35" s="77">
        <f t="shared" si="79"/>
        <v>0</v>
      </c>
      <c r="BE35" s="77">
        <f t="shared" si="80"/>
        <v>0</v>
      </c>
      <c r="BF35" s="77">
        <f t="shared" si="81"/>
        <v>60987.5</v>
      </c>
      <c r="BG35" s="77">
        <f t="shared" si="82"/>
        <v>0</v>
      </c>
      <c r="BH35" s="77">
        <f t="shared" si="83"/>
        <v>0</v>
      </c>
      <c r="BI35" s="110">
        <f t="shared" si="84"/>
        <v>0</v>
      </c>
      <c r="BJ35" s="110">
        <f t="shared" si="85"/>
        <v>26137.5</v>
      </c>
      <c r="BK35" s="110">
        <f t="shared" si="86"/>
        <v>0</v>
      </c>
      <c r="BL35" s="78"/>
      <c r="BM35" s="79">
        <f>AY35+AZ35+BA35</f>
        <v>38335</v>
      </c>
      <c r="BN35" s="79">
        <f>+BB35+BC35+BD35</f>
        <v>8712.5</v>
      </c>
      <c r="BO35" s="79">
        <f t="shared" si="87"/>
        <v>60987.5</v>
      </c>
      <c r="BP35" s="111">
        <f t="shared" si="88"/>
        <v>26137.5</v>
      </c>
      <c r="BR35" s="80">
        <f t="shared" si="89"/>
        <v>21.297222222222221</v>
      </c>
      <c r="BS35" s="80">
        <f t="shared" si="90"/>
        <v>1.9891552511415524</v>
      </c>
      <c r="BU35" s="81">
        <f t="shared" si="91"/>
        <v>11.388888888888888</v>
      </c>
      <c r="BV35" s="81">
        <f t="shared" si="91"/>
        <v>11.388888888888888</v>
      </c>
      <c r="BW35" s="79">
        <f t="shared" si="92"/>
        <v>21114.999999999996</v>
      </c>
      <c r="BX35" s="80">
        <f t="shared" si="93"/>
        <v>173.11111111111109</v>
      </c>
      <c r="BY35" s="82"/>
      <c r="BZ35" s="79"/>
      <c r="CA35" s="80"/>
      <c r="CB35" s="82"/>
      <c r="CC35" s="79">
        <f t="shared" si="94"/>
        <v>14520.833333333334</v>
      </c>
      <c r="CD35" s="80">
        <f t="shared" si="95"/>
        <v>7.762125824454591</v>
      </c>
      <c r="CF35" s="79">
        <f t="shared" si="96"/>
        <v>96623.333333333328</v>
      </c>
      <c r="CH35" s="233">
        <f t="shared" si="97"/>
        <v>5.125</v>
      </c>
      <c r="CJ35" s="233">
        <f t="shared" si="53"/>
        <v>30750</v>
      </c>
    </row>
    <row r="36" spans="2:88" x14ac:dyDescent="0.2">
      <c r="B36" s="85"/>
      <c r="C36" s="86"/>
      <c r="D36" s="6"/>
      <c r="F36" s="3"/>
      <c r="G36" s="3"/>
      <c r="H36" s="40"/>
      <c r="I36" s="84"/>
      <c r="J36" s="70"/>
      <c r="K36" s="70"/>
      <c r="L36" s="70"/>
      <c r="M36" s="70"/>
      <c r="N36" s="84"/>
      <c r="O36" s="84"/>
      <c r="P36" s="84"/>
      <c r="Q36" s="87"/>
      <c r="R36" s="88"/>
      <c r="S36" s="88"/>
      <c r="T36" s="84"/>
      <c r="U36" s="205"/>
      <c r="V36" s="84"/>
      <c r="W36" s="75"/>
      <c r="X36" s="75"/>
      <c r="Y36" s="75"/>
      <c r="Z36" s="75"/>
      <c r="AA36" s="74"/>
      <c r="AB36" s="205"/>
      <c r="AC36" s="84"/>
      <c r="AD36" s="78"/>
      <c r="AE36" s="78"/>
      <c r="AF36" s="78"/>
      <c r="AG36" s="78"/>
      <c r="AH36" s="78"/>
      <c r="AI36" s="89"/>
      <c r="AJ36" s="84"/>
      <c r="AK36" s="78"/>
      <c r="AL36" s="222"/>
      <c r="AM36" s="78"/>
      <c r="AN36" s="89"/>
      <c r="AO36" s="84"/>
      <c r="AP36" s="78"/>
      <c r="AQ36" s="78"/>
      <c r="AR36" s="78"/>
      <c r="AS36" s="78"/>
      <c r="AT36" s="78"/>
      <c r="AU36" s="89"/>
      <c r="AV36" s="84"/>
      <c r="AW36" s="78"/>
      <c r="AX36" s="78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78"/>
      <c r="BM36" s="91"/>
      <c r="BN36" s="91"/>
      <c r="BO36" s="91"/>
      <c r="BP36" s="91"/>
      <c r="BR36" s="82"/>
      <c r="BS36" s="82"/>
      <c r="BU36" s="92"/>
      <c r="BV36" s="92"/>
      <c r="BW36" s="91"/>
      <c r="BX36" s="82"/>
      <c r="BY36" s="82"/>
      <c r="BZ36" s="91"/>
      <c r="CA36" s="82"/>
      <c r="CB36" s="82"/>
      <c r="CC36" s="91"/>
      <c r="CD36" s="82"/>
      <c r="CF36" s="91"/>
      <c r="CH36" s="228"/>
      <c r="CJ36" s="228">
        <f t="shared" si="53"/>
        <v>0</v>
      </c>
    </row>
    <row r="37" spans="2:88" x14ac:dyDescent="0.2">
      <c r="B37" s="323" t="s">
        <v>75</v>
      </c>
      <c r="C37" s="323"/>
      <c r="D37" s="323"/>
      <c r="F37" s="94">
        <f>SUM(F38:F39)</f>
        <v>8120.5500000000011</v>
      </c>
      <c r="G37" s="94">
        <f>SUM(G38:G39)</f>
        <v>3928</v>
      </c>
      <c r="H37" s="94"/>
      <c r="I37" s="94">
        <f>SUM(I38:I39)</f>
        <v>0</v>
      </c>
      <c r="J37" s="94">
        <f>SUM(J38:J39)</f>
        <v>0</v>
      </c>
      <c r="K37" s="94">
        <f>SUM(K38:K39)</f>
        <v>9080</v>
      </c>
      <c r="L37" s="94">
        <f>SUM(L38:L39)</f>
        <v>8290</v>
      </c>
      <c r="M37" s="94"/>
      <c r="N37" s="94">
        <f>SUM(N38:N39)</f>
        <v>9080</v>
      </c>
      <c r="O37" s="94">
        <f>SUM(O38:O39)</f>
        <v>17370</v>
      </c>
      <c r="P37" s="55"/>
      <c r="Q37" s="96">
        <f>SUM(Q38:Q39)</f>
        <v>0</v>
      </c>
      <c r="R37" s="96">
        <f>SUM(R38:R39)</f>
        <v>0</v>
      </c>
      <c r="S37" s="96">
        <f>SUM(S38:S39)</f>
        <v>130.24125000000001</v>
      </c>
      <c r="T37" s="55"/>
      <c r="U37" s="206"/>
      <c r="V37" s="94">
        <f>SUM(V38:V39)</f>
        <v>0</v>
      </c>
      <c r="W37" s="158"/>
      <c r="X37" s="158"/>
      <c r="Y37" s="158"/>
      <c r="Z37" s="158"/>
      <c r="AA37" s="74"/>
      <c r="AB37" s="206"/>
      <c r="AC37" s="94">
        <f>SUM(AC38:AC39)</f>
        <v>0</v>
      </c>
      <c r="AD37" s="98"/>
      <c r="AE37" s="98"/>
      <c r="AF37" s="98"/>
      <c r="AG37" s="98"/>
      <c r="AH37" s="60"/>
      <c r="AI37" s="159"/>
      <c r="AJ37" s="94">
        <f>SUM(AJ38:AJ39)</f>
        <v>7718</v>
      </c>
      <c r="AK37" s="98"/>
      <c r="AL37" s="226"/>
      <c r="AM37" s="98"/>
      <c r="AN37" s="159"/>
      <c r="AO37" s="160">
        <v>0</v>
      </c>
      <c r="AP37" s="98">
        <f t="shared" ref="AP37:AR39" si="105">AP$13</f>
        <v>15</v>
      </c>
      <c r="AQ37" s="98">
        <f t="shared" si="105"/>
        <v>5</v>
      </c>
      <c r="AR37" s="98">
        <f t="shared" si="105"/>
        <v>20</v>
      </c>
      <c r="AS37" s="98"/>
      <c r="AT37" s="78"/>
      <c r="AU37" s="159"/>
      <c r="AV37" s="94">
        <f>SUM(AV38:AV39)</f>
        <v>8290</v>
      </c>
      <c r="AW37" s="98"/>
      <c r="AX37" s="60"/>
      <c r="AY37" s="100">
        <f t="shared" ref="AY37:BK37" si="106">SUM(AY38:AY39)</f>
        <v>0</v>
      </c>
      <c r="AZ37" s="100">
        <f t="shared" si="106"/>
        <v>0</v>
      </c>
      <c r="BA37" s="100">
        <f t="shared" si="106"/>
        <v>169796</v>
      </c>
      <c r="BB37" s="100">
        <f t="shared" si="106"/>
        <v>0</v>
      </c>
      <c r="BC37" s="100">
        <f t="shared" si="106"/>
        <v>0</v>
      </c>
      <c r="BD37" s="100">
        <f t="shared" si="106"/>
        <v>57885</v>
      </c>
      <c r="BE37" s="100">
        <f t="shared" si="106"/>
        <v>0</v>
      </c>
      <c r="BF37" s="100">
        <f t="shared" si="106"/>
        <v>0</v>
      </c>
      <c r="BG37" s="100">
        <f t="shared" si="106"/>
        <v>385900</v>
      </c>
      <c r="BH37" s="100">
        <f t="shared" si="106"/>
        <v>33160</v>
      </c>
      <c r="BI37" s="100">
        <f t="shared" si="106"/>
        <v>0</v>
      </c>
      <c r="BJ37" s="100">
        <f t="shared" si="106"/>
        <v>0</v>
      </c>
      <c r="BK37" s="100">
        <f t="shared" si="106"/>
        <v>115770</v>
      </c>
      <c r="BL37" s="78"/>
      <c r="BM37" s="100">
        <f>SUM(BM38:BM39)</f>
        <v>169796</v>
      </c>
      <c r="BN37" s="100">
        <f>SUM(BN38:BN39)</f>
        <v>57885</v>
      </c>
      <c r="BO37" s="100">
        <f>SUM(BO38:BO39)</f>
        <v>419060</v>
      </c>
      <c r="BP37" s="100">
        <f>SUM(BP38:BP39)</f>
        <v>115770</v>
      </c>
      <c r="BR37" s="101">
        <f>SUM(BR38:BR39)</f>
        <v>94.331111111111113</v>
      </c>
      <c r="BS37" s="101">
        <f>SUM(BS38:BS39)</f>
        <v>13.215753424657533</v>
      </c>
      <c r="BU37" s="98">
        <f>SUM(BU38:BU39)</f>
        <v>50.444444444444443</v>
      </c>
      <c r="BV37" s="98">
        <f>SUM(BV38:BV39)</f>
        <v>50.444444444444443</v>
      </c>
      <c r="BW37" s="100">
        <f>SUM(BW38:BW39)</f>
        <v>93523.999999999985</v>
      </c>
      <c r="BX37" s="101">
        <f>SUM(BX38:BX39)</f>
        <v>766.75555555555547</v>
      </c>
      <c r="BY37" s="63"/>
      <c r="BZ37" s="100">
        <f>SUM(BZ38:BZ39)</f>
        <v>0</v>
      </c>
      <c r="CA37" s="101">
        <f>SUM(CA38:CA39)</f>
        <v>0</v>
      </c>
      <c r="CB37" s="63"/>
      <c r="CC37" s="100">
        <f>SUM(CC38:CC39)</f>
        <v>68175.666666666657</v>
      </c>
      <c r="CD37" s="101">
        <f>SUM(CD38:CD39)</f>
        <v>35.848954845256216</v>
      </c>
      <c r="CF37" s="100">
        <f>SUM(CF38:CF39)</f>
        <v>580759.66666666663</v>
      </c>
      <c r="CH37" s="101">
        <f>SUM(CH38:CH39)</f>
        <v>43.424999999999997</v>
      </c>
      <c r="CJ37" s="101">
        <f t="shared" si="53"/>
        <v>136200</v>
      </c>
    </row>
    <row r="38" spans="2:88" x14ac:dyDescent="0.2">
      <c r="B38" s="102"/>
      <c r="C38" s="103">
        <v>1</v>
      </c>
      <c r="D38" s="104"/>
      <c r="F38" s="105">
        <v>4692.8840376782082</v>
      </c>
      <c r="G38" s="105">
        <v>2270</v>
      </c>
      <c r="H38" s="106">
        <v>4</v>
      </c>
      <c r="I38" s="105">
        <v>0</v>
      </c>
      <c r="J38" s="105">
        <v>0</v>
      </c>
      <c r="K38" s="105">
        <v>9080</v>
      </c>
      <c r="L38" s="105">
        <v>0</v>
      </c>
      <c r="M38" s="105"/>
      <c r="N38" s="105">
        <v>9080</v>
      </c>
      <c r="O38" s="105">
        <v>9080</v>
      </c>
      <c r="P38" s="70"/>
      <c r="Q38" s="200">
        <f t="shared" ref="Q38:Q39" si="107">R38*2.2</f>
        <v>0</v>
      </c>
      <c r="R38" s="200">
        <f t="shared" ref="R38:R39" si="108">V38/110</f>
        <v>0</v>
      </c>
      <c r="S38" s="200">
        <f t="shared" ref="S38" si="109">(AC38*0.675/27)+(AJ38*0.675/40)</f>
        <v>130.24125000000001</v>
      </c>
      <c r="T38" s="70"/>
      <c r="U38" s="203">
        <f t="shared" ref="U38:U39" si="110">$U$12</f>
        <v>0.9</v>
      </c>
      <c r="V38" s="107">
        <f t="shared" ref="V38:V39" si="111">U38*I38</f>
        <v>0</v>
      </c>
      <c r="W38" s="108">
        <f>$W$12</f>
        <v>22</v>
      </c>
      <c r="X38" s="108">
        <f t="shared" ref="X38:Z39" si="112">X$12</f>
        <v>10</v>
      </c>
      <c r="Y38" s="108">
        <f t="shared" si="112"/>
        <v>30</v>
      </c>
      <c r="Z38" s="108">
        <f t="shared" si="112"/>
        <v>5</v>
      </c>
      <c r="AA38" s="74"/>
      <c r="AB38" s="203">
        <f t="shared" ref="AB38:AB39" si="113">$AB$12</f>
        <v>0.85</v>
      </c>
      <c r="AC38" s="107">
        <f t="shared" ref="AC38:AC39" si="114">AB38*J38</f>
        <v>0</v>
      </c>
      <c r="AD38" s="108">
        <f t="shared" ref="AD38:AD39" si="115">$AD$12</f>
        <v>22</v>
      </c>
      <c r="AE38" s="108">
        <f t="shared" ref="AE38:AF39" si="116">AE$12</f>
        <v>5</v>
      </c>
      <c r="AF38" s="108">
        <f t="shared" si="116"/>
        <v>35</v>
      </c>
      <c r="AG38" s="108">
        <f t="shared" ref="AG38:AG39" si="117">$AG$12</f>
        <v>15</v>
      </c>
      <c r="AH38" s="75"/>
      <c r="AI38" s="203">
        <f t="shared" ref="AI38:AI39" si="118">$AI$12</f>
        <v>0.85</v>
      </c>
      <c r="AJ38" s="107">
        <f t="shared" ref="AJ38:AJ39" si="119">AI38*K38</f>
        <v>7718</v>
      </c>
      <c r="AK38" s="108">
        <f t="shared" ref="AK38:AK39" si="120">$AK$12</f>
        <v>22</v>
      </c>
      <c r="AL38" s="219">
        <f t="shared" ref="AL38:AM39" si="121">AL$12</f>
        <v>7.5</v>
      </c>
      <c r="AM38" s="108">
        <f t="shared" si="121"/>
        <v>50</v>
      </c>
      <c r="AN38" s="109">
        <v>0</v>
      </c>
      <c r="AO38" s="107">
        <v>0</v>
      </c>
      <c r="AP38" s="108">
        <f t="shared" si="105"/>
        <v>15</v>
      </c>
      <c r="AQ38" s="108">
        <f t="shared" si="105"/>
        <v>5</v>
      </c>
      <c r="AR38" s="108">
        <f t="shared" si="105"/>
        <v>20</v>
      </c>
      <c r="AS38" s="108">
        <f t="shared" ref="AS38:AS39" si="122">AS$12</f>
        <v>15</v>
      </c>
      <c r="AT38" s="78"/>
      <c r="AU38" s="203">
        <f t="shared" ref="AU38:AU39" si="123">AU$12</f>
        <v>1</v>
      </c>
      <c r="AV38" s="107">
        <f t="shared" ref="AV38:AV39" si="124">AU38*L38</f>
        <v>0</v>
      </c>
      <c r="AW38" s="108">
        <f t="shared" ref="AW38:AW39" si="125">AW$12</f>
        <v>4</v>
      </c>
      <c r="AX38" s="75"/>
      <c r="AY38" s="110">
        <f>V38*W38</f>
        <v>0</v>
      </c>
      <c r="AZ38" s="110">
        <f>AC38*AD38</f>
        <v>0</v>
      </c>
      <c r="BA38" s="110">
        <f>AJ38*AK38</f>
        <v>169796</v>
      </c>
      <c r="BB38" s="110">
        <f>V38*X38</f>
        <v>0</v>
      </c>
      <c r="BC38" s="110">
        <f>AC38*AE38</f>
        <v>0</v>
      </c>
      <c r="BD38" s="110">
        <f>AJ38*AL38</f>
        <v>57885</v>
      </c>
      <c r="BE38" s="110">
        <f>V38*Y38</f>
        <v>0</v>
      </c>
      <c r="BF38" s="110">
        <f>AC38*AF38</f>
        <v>0</v>
      </c>
      <c r="BG38" s="110">
        <f>+AJ38*AM38</f>
        <v>385900</v>
      </c>
      <c r="BH38" s="110">
        <f>+AV38*AW38</f>
        <v>0</v>
      </c>
      <c r="BI38" s="110">
        <f t="shared" ref="BI38:BI39" si="126">Z38*V38</f>
        <v>0</v>
      </c>
      <c r="BJ38" s="110">
        <f t="shared" ref="BJ38:BJ39" si="127">+AG38*AC38</f>
        <v>0</v>
      </c>
      <c r="BK38" s="110">
        <f t="shared" ref="BK38:BK39" si="128">+AS38*AJ38</f>
        <v>115770</v>
      </c>
      <c r="BL38" s="78"/>
      <c r="BM38" s="111">
        <f t="shared" ref="BM38:BM39" si="129">AY38+AZ38+BA38</f>
        <v>169796</v>
      </c>
      <c r="BN38" s="111">
        <f t="shared" ref="BN38:BN39" si="130">+BB38+BC38+BD38</f>
        <v>57885</v>
      </c>
      <c r="BO38" s="111">
        <f t="shared" ref="BO38:BO39" si="131">+BE38+BF38+BG38+BH38</f>
        <v>385900</v>
      </c>
      <c r="BP38" s="111">
        <f t="shared" ref="BP38:BP39" si="132">SUM(BI38:BK38)</f>
        <v>115770</v>
      </c>
      <c r="BR38" s="112">
        <f>BM38/$BR$6</f>
        <v>94.331111111111113</v>
      </c>
      <c r="BS38" s="112">
        <f>(BB38+BC38+BD38)/$BS$6</f>
        <v>13.215753424657533</v>
      </c>
      <c r="BU38" s="113">
        <f>($BU$3*$R38)+(($J38+$K38)/$BU$5*$BU$7)</f>
        <v>50.444444444444443</v>
      </c>
      <c r="BV38" s="113">
        <f>($BU$3*$R38)+(($J38+$K38)/$BU$5*$BU$7)</f>
        <v>50.444444444444443</v>
      </c>
      <c r="BW38" s="111">
        <f t="shared" ref="BW38:BW39" si="133">BV38*$BW$3*$BW$6</f>
        <v>93523.999999999985</v>
      </c>
      <c r="BX38" s="112">
        <f>(BU38*0.3*50+BU38*0.7*22)*$BX$6</f>
        <v>766.75555555555547</v>
      </c>
      <c r="BY38" s="82"/>
      <c r="BZ38" s="111"/>
      <c r="CA38" s="112"/>
      <c r="CB38" s="82"/>
      <c r="CC38" s="111">
        <f>BM38/$CC$3+(BN38*(1-$CD$3)/$CC$6)</f>
        <v>68175.666666666657</v>
      </c>
      <c r="CD38" s="112">
        <f>BR38/$CD$6+BS38/$CD$6</f>
        <v>35.848954845256216</v>
      </c>
      <c r="CF38" s="111">
        <f t="shared" ref="CF38:CF39" si="134">BE38+BF38+BG38+BH38+BW38+BZ38+CC38</f>
        <v>547599.66666666663</v>
      </c>
      <c r="CH38" s="229">
        <f>$CH$6*O38/1000</f>
        <v>22.7</v>
      </c>
      <c r="CJ38" s="229">
        <f t="shared" si="53"/>
        <v>136200</v>
      </c>
    </row>
    <row r="39" spans="2:88" s="147" customFormat="1" x14ac:dyDescent="0.2">
      <c r="B39" s="161"/>
      <c r="C39" s="162">
        <v>2</v>
      </c>
      <c r="D39" s="197" t="s">
        <v>74</v>
      </c>
      <c r="F39" s="163">
        <v>3427.6659623217924</v>
      </c>
      <c r="G39" s="163">
        <v>1658</v>
      </c>
      <c r="H39" s="164">
        <v>5</v>
      </c>
      <c r="I39" s="163">
        <v>0</v>
      </c>
      <c r="J39" s="163">
        <v>0</v>
      </c>
      <c r="K39" s="163">
        <v>0</v>
      </c>
      <c r="L39" s="163">
        <v>8290</v>
      </c>
      <c r="M39" s="163"/>
      <c r="N39" s="163">
        <v>0</v>
      </c>
      <c r="O39" s="163">
        <v>8290</v>
      </c>
      <c r="P39" s="150"/>
      <c r="Q39" s="202">
        <f t="shared" si="107"/>
        <v>0</v>
      </c>
      <c r="R39" s="202">
        <f t="shared" si="108"/>
        <v>0</v>
      </c>
      <c r="S39" s="202">
        <v>0</v>
      </c>
      <c r="T39" s="150"/>
      <c r="U39" s="212">
        <f t="shared" si="110"/>
        <v>0.9</v>
      </c>
      <c r="V39" s="163">
        <f t="shared" si="111"/>
        <v>0</v>
      </c>
      <c r="W39" s="165">
        <f t="shared" ref="W39" si="135">$W$12</f>
        <v>22</v>
      </c>
      <c r="X39" s="165">
        <f t="shared" si="112"/>
        <v>10</v>
      </c>
      <c r="Y39" s="165">
        <f>Y$12</f>
        <v>30</v>
      </c>
      <c r="Z39" s="108">
        <f t="shared" si="112"/>
        <v>5</v>
      </c>
      <c r="AA39" s="74"/>
      <c r="AB39" s="212">
        <f t="shared" si="113"/>
        <v>0.85</v>
      </c>
      <c r="AC39" s="163">
        <f t="shared" si="114"/>
        <v>0</v>
      </c>
      <c r="AD39" s="165">
        <f t="shared" si="115"/>
        <v>22</v>
      </c>
      <c r="AE39" s="165">
        <f t="shared" si="116"/>
        <v>5</v>
      </c>
      <c r="AF39" s="165">
        <f t="shared" si="116"/>
        <v>35</v>
      </c>
      <c r="AG39" s="108">
        <f t="shared" si="117"/>
        <v>15</v>
      </c>
      <c r="AH39" s="74"/>
      <c r="AI39" s="212">
        <f t="shared" si="118"/>
        <v>0.85</v>
      </c>
      <c r="AJ39" s="163">
        <f t="shared" si="119"/>
        <v>0</v>
      </c>
      <c r="AK39" s="165">
        <f t="shared" si="120"/>
        <v>22</v>
      </c>
      <c r="AL39" s="221">
        <f t="shared" si="121"/>
        <v>7.5</v>
      </c>
      <c r="AM39" s="165">
        <f t="shared" si="121"/>
        <v>50</v>
      </c>
      <c r="AN39" s="166">
        <v>0</v>
      </c>
      <c r="AO39" s="163">
        <v>0</v>
      </c>
      <c r="AP39" s="165">
        <f t="shared" si="105"/>
        <v>15</v>
      </c>
      <c r="AQ39" s="165">
        <f t="shared" si="105"/>
        <v>5</v>
      </c>
      <c r="AR39" s="165">
        <f t="shared" si="105"/>
        <v>20</v>
      </c>
      <c r="AS39" s="108">
        <f t="shared" si="122"/>
        <v>15</v>
      </c>
      <c r="AT39" s="150"/>
      <c r="AU39" s="212">
        <f t="shared" si="123"/>
        <v>1</v>
      </c>
      <c r="AV39" s="163">
        <f t="shared" si="124"/>
        <v>8290</v>
      </c>
      <c r="AW39" s="165">
        <f t="shared" si="125"/>
        <v>4</v>
      </c>
      <c r="AX39" s="74"/>
      <c r="AY39" s="167">
        <f>V39*W39</f>
        <v>0</v>
      </c>
      <c r="AZ39" s="167">
        <f>AC39*AD39</f>
        <v>0</v>
      </c>
      <c r="BA39" s="167">
        <f>AJ39*AK39</f>
        <v>0</v>
      </c>
      <c r="BB39" s="167">
        <f>V39*X39</f>
        <v>0</v>
      </c>
      <c r="BC39" s="167">
        <f>AC39*AE39</f>
        <v>0</v>
      </c>
      <c r="BD39" s="167">
        <f>AJ39*AL39</f>
        <v>0</v>
      </c>
      <c r="BE39" s="167">
        <f>V39*Y39</f>
        <v>0</v>
      </c>
      <c r="BF39" s="167">
        <f>AC39*AF39</f>
        <v>0</v>
      </c>
      <c r="BG39" s="167">
        <f>+AJ39*AM39</f>
        <v>0</v>
      </c>
      <c r="BH39" s="167">
        <f>+AV39*AW39</f>
        <v>33160</v>
      </c>
      <c r="BI39" s="110">
        <f t="shared" si="126"/>
        <v>0</v>
      </c>
      <c r="BJ39" s="110">
        <f t="shared" si="127"/>
        <v>0</v>
      </c>
      <c r="BK39" s="110">
        <f t="shared" si="128"/>
        <v>0</v>
      </c>
      <c r="BL39" s="150"/>
      <c r="BM39" s="168">
        <f t="shared" si="129"/>
        <v>0</v>
      </c>
      <c r="BN39" s="168">
        <f t="shared" si="130"/>
        <v>0</v>
      </c>
      <c r="BO39" s="168">
        <f t="shared" si="131"/>
        <v>33160</v>
      </c>
      <c r="BP39" s="111">
        <f t="shared" si="132"/>
        <v>0</v>
      </c>
      <c r="BR39" s="169">
        <f>BM39/$BR$6</f>
        <v>0</v>
      </c>
      <c r="BS39" s="169">
        <f>(BB39+BC39+BD39)/$BS$6</f>
        <v>0</v>
      </c>
      <c r="BU39" s="170">
        <f>($BU$3*$R39)+(($J39+$K39)/$BU$5*$BU$7)</f>
        <v>0</v>
      </c>
      <c r="BV39" s="170">
        <f>($BU$3*$R39)+(($J39+$K39)/$BU$5*$BU$7)</f>
        <v>0</v>
      </c>
      <c r="BW39" s="168">
        <f t="shared" si="133"/>
        <v>0</v>
      </c>
      <c r="BX39" s="169">
        <f>(BU39*0.3*50+BU39*0.7*22)*$BX$6</f>
        <v>0</v>
      </c>
      <c r="BY39" s="157"/>
      <c r="BZ39" s="168"/>
      <c r="CA39" s="169"/>
      <c r="CB39" s="157"/>
      <c r="CC39" s="168">
        <f>BM39/$CC$3+(BN39*(1-$CD$3)/$CC$6)</f>
        <v>0</v>
      </c>
      <c r="CD39" s="169">
        <f>BR39/$CD$6+BS39/$CD$6</f>
        <v>0</v>
      </c>
      <c r="CF39" s="168">
        <f t="shared" si="134"/>
        <v>33160</v>
      </c>
      <c r="CH39" s="234">
        <f>$CH$6*O39/1000</f>
        <v>20.725000000000001</v>
      </c>
      <c r="CJ39" s="234">
        <f t="shared" si="53"/>
        <v>0</v>
      </c>
    </row>
    <row r="40" spans="2:88" x14ac:dyDescent="0.2">
      <c r="B40" s="85"/>
      <c r="C40" s="86"/>
      <c r="D40" s="6"/>
      <c r="F40" s="3"/>
      <c r="G40" s="3"/>
      <c r="H40" s="40"/>
      <c r="I40" s="84"/>
      <c r="J40" s="70"/>
      <c r="K40" s="70"/>
      <c r="L40" s="70"/>
      <c r="M40" s="70"/>
      <c r="N40" s="84"/>
      <c r="O40" s="84"/>
      <c r="P40" s="84"/>
      <c r="Q40" s="87"/>
      <c r="R40" s="88"/>
      <c r="S40" s="88"/>
      <c r="T40" s="84"/>
      <c r="U40" s="205"/>
      <c r="V40" s="84"/>
      <c r="W40" s="75"/>
      <c r="X40" s="75"/>
      <c r="Y40" s="75"/>
      <c r="Z40" s="75"/>
      <c r="AA40" s="74"/>
      <c r="AB40" s="205"/>
      <c r="AC40" s="84"/>
      <c r="AD40" s="78"/>
      <c r="AE40" s="78"/>
      <c r="AF40" s="78"/>
      <c r="AG40" s="78"/>
      <c r="AH40" s="78"/>
      <c r="AI40" s="89"/>
      <c r="AJ40" s="84"/>
      <c r="AK40" s="78"/>
      <c r="AL40" s="222"/>
      <c r="AM40" s="78"/>
      <c r="AN40" s="89"/>
      <c r="AO40" s="84"/>
      <c r="AP40" s="78"/>
      <c r="AQ40" s="78"/>
      <c r="AR40" s="78"/>
      <c r="AS40" s="78"/>
      <c r="AT40" s="78"/>
      <c r="AU40" s="89"/>
      <c r="AV40" s="84"/>
      <c r="AW40" s="78"/>
      <c r="AX40" s="78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78"/>
      <c r="BM40" s="91"/>
      <c r="BN40" s="91"/>
      <c r="BO40" s="91"/>
      <c r="BP40" s="91"/>
      <c r="BR40" s="82"/>
      <c r="BS40" s="82"/>
      <c r="BU40" s="92"/>
      <c r="BV40" s="92"/>
      <c r="BW40" s="91"/>
      <c r="BX40" s="82"/>
      <c r="BY40" s="82"/>
      <c r="BZ40" s="91"/>
      <c r="CA40" s="82"/>
      <c r="CB40" s="82"/>
      <c r="CC40" s="91"/>
      <c r="CD40" s="82"/>
      <c r="CF40" s="91"/>
      <c r="CH40" s="228"/>
      <c r="CJ40" s="228">
        <f t="shared" si="53"/>
        <v>0</v>
      </c>
    </row>
    <row r="41" spans="2:88" x14ac:dyDescent="0.2">
      <c r="B41" s="322" t="s">
        <v>76</v>
      </c>
      <c r="C41" s="322"/>
      <c r="D41" s="322"/>
      <c r="F41" s="53">
        <f>SUM(F42:F48)</f>
        <v>18243.099999999995</v>
      </c>
      <c r="G41" s="53">
        <f>SUM(G42:G48)</f>
        <v>9494.7000000000007</v>
      </c>
      <c r="H41" s="53"/>
      <c r="I41" s="53">
        <f t="shared" ref="I41:N41" si="136">SUM(I42:I48)</f>
        <v>18425</v>
      </c>
      <c r="J41" s="53">
        <f t="shared" si="136"/>
        <v>27023.3</v>
      </c>
      <c r="K41" s="53">
        <f t="shared" si="136"/>
        <v>0</v>
      </c>
      <c r="L41" s="53">
        <f>SUM(L42:L49)</f>
        <v>14338</v>
      </c>
      <c r="M41" s="53"/>
      <c r="N41" s="53">
        <f t="shared" si="136"/>
        <v>45448.3</v>
      </c>
      <c r="O41" s="53">
        <f>SUM(O42:O49)</f>
        <v>59786.3</v>
      </c>
      <c r="P41" s="55"/>
      <c r="Q41" s="56">
        <f>SUM(Q42:Q50)</f>
        <v>331.65000000000003</v>
      </c>
      <c r="R41" s="56">
        <f>SUM(R42:R50)</f>
        <v>150.75</v>
      </c>
      <c r="S41" s="56">
        <f>SUM(S42:S50)</f>
        <v>574.24512500000003</v>
      </c>
      <c r="T41" s="55"/>
      <c r="U41" s="207"/>
      <c r="V41" s="53">
        <f>SUM(V42:V49)</f>
        <v>16582.5</v>
      </c>
      <c r="W41" s="58"/>
      <c r="X41" s="58"/>
      <c r="Y41" s="58"/>
      <c r="Z41" s="58"/>
      <c r="AA41" s="59"/>
      <c r="AB41" s="207"/>
      <c r="AC41" s="53">
        <f>SUM(AC42:AC49)</f>
        <v>22969.805</v>
      </c>
      <c r="AD41" s="58"/>
      <c r="AE41" s="58"/>
      <c r="AF41" s="58"/>
      <c r="AG41" s="58"/>
      <c r="AH41" s="60"/>
      <c r="AI41" s="57"/>
      <c r="AJ41" s="53">
        <f>SUM(AJ42:AJ49)</f>
        <v>0</v>
      </c>
      <c r="AK41" s="58"/>
      <c r="AL41" s="185"/>
      <c r="AM41" s="58"/>
      <c r="AN41" s="57"/>
      <c r="AO41" s="53">
        <v>0</v>
      </c>
      <c r="AP41" s="58">
        <f t="shared" ref="AP41:AR48" si="137">AP$13</f>
        <v>15</v>
      </c>
      <c r="AQ41" s="58">
        <f t="shared" si="137"/>
        <v>5</v>
      </c>
      <c r="AR41" s="58">
        <f t="shared" si="137"/>
        <v>20</v>
      </c>
      <c r="AS41" s="58"/>
      <c r="AT41" s="55"/>
      <c r="AU41" s="57"/>
      <c r="AV41" s="53">
        <f>SUM(AV42:AV49)</f>
        <v>14338</v>
      </c>
      <c r="AW41" s="58"/>
      <c r="AX41" s="60"/>
      <c r="AY41" s="61">
        <f>SUM(AY42:AY49)</f>
        <v>364815</v>
      </c>
      <c r="AZ41" s="61">
        <f t="shared" ref="AZ41:BK41" si="138">SUM(AZ42:AZ49)</f>
        <v>505335.70999999996</v>
      </c>
      <c r="BA41" s="61">
        <f t="shared" si="138"/>
        <v>0</v>
      </c>
      <c r="BB41" s="61">
        <f t="shared" si="138"/>
        <v>165825</v>
      </c>
      <c r="BC41" s="61">
        <f t="shared" si="138"/>
        <v>114849.02499999999</v>
      </c>
      <c r="BD41" s="61">
        <f t="shared" si="138"/>
        <v>0</v>
      </c>
      <c r="BE41" s="61">
        <f t="shared" si="138"/>
        <v>497475</v>
      </c>
      <c r="BF41" s="61">
        <f t="shared" si="138"/>
        <v>803943.17500000005</v>
      </c>
      <c r="BG41" s="61">
        <f t="shared" si="138"/>
        <v>0</v>
      </c>
      <c r="BH41" s="61">
        <f t="shared" si="138"/>
        <v>57352</v>
      </c>
      <c r="BI41" s="61">
        <f t="shared" si="138"/>
        <v>82912.5</v>
      </c>
      <c r="BJ41" s="61">
        <f t="shared" si="138"/>
        <v>344547.07500000001</v>
      </c>
      <c r="BK41" s="61">
        <f t="shared" si="138"/>
        <v>0</v>
      </c>
      <c r="BL41" s="55"/>
      <c r="BM41" s="61">
        <f>SUM(BM42:BM49)</f>
        <v>870150.71</v>
      </c>
      <c r="BN41" s="61">
        <f t="shared" ref="BN41:BP41" si="139">SUM(BN42:BN49)</f>
        <v>280674.02500000002</v>
      </c>
      <c r="BO41" s="61">
        <f t="shared" si="139"/>
        <v>1358770.175</v>
      </c>
      <c r="BP41" s="61">
        <f t="shared" si="139"/>
        <v>427459.57500000001</v>
      </c>
      <c r="BR41" s="62">
        <f>SUM(BR42:BR49)</f>
        <v>483.41706111111108</v>
      </c>
      <c r="BS41" s="62">
        <f>SUM(BS42:BS49)</f>
        <v>64.080827625570777</v>
      </c>
      <c r="BU41" s="58">
        <f t="shared" ref="BU41:BX41" si="140">SUM(BU42:BU48)</f>
        <v>181.78694444444443</v>
      </c>
      <c r="BV41" s="58">
        <f t="shared" si="140"/>
        <v>181.78694444444443</v>
      </c>
      <c r="BW41" s="61">
        <f t="shared" si="140"/>
        <v>337032.995</v>
      </c>
      <c r="BX41" s="62">
        <f t="shared" si="140"/>
        <v>2763.1615555555554</v>
      </c>
      <c r="BY41" s="63"/>
      <c r="BZ41" s="61">
        <f t="shared" ref="BZ41:CA41" si="141">SUM(BZ42:BZ48)</f>
        <v>0</v>
      </c>
      <c r="CA41" s="62">
        <f t="shared" si="141"/>
        <v>0</v>
      </c>
      <c r="CB41" s="63"/>
      <c r="CC41" s="61">
        <f>SUM(CC42:CC49)</f>
        <v>346185.04166666663</v>
      </c>
      <c r="CD41" s="62">
        <f>SUM(CD42:CD49)</f>
        <v>182.49929624556063</v>
      </c>
      <c r="CF41" s="61">
        <f>SUM(CF42:CF49)</f>
        <v>2041988.2116666667</v>
      </c>
      <c r="CH41" s="62">
        <f>SUM(CH42:CH49)</f>
        <v>149.46574999999999</v>
      </c>
      <c r="CJ41" s="62">
        <f t="shared" si="53"/>
        <v>681724.5</v>
      </c>
    </row>
    <row r="42" spans="2:88" x14ac:dyDescent="0.2">
      <c r="B42" s="64"/>
      <c r="C42" s="65">
        <v>1</v>
      </c>
      <c r="D42" s="66"/>
      <c r="F42" s="67">
        <v>1776.5248254289231</v>
      </c>
      <c r="G42" s="67">
        <v>924.6</v>
      </c>
      <c r="H42" s="69">
        <v>3</v>
      </c>
      <c r="I42" s="68">
        <v>0</v>
      </c>
      <c r="J42" s="67">
        <v>2773.8</v>
      </c>
      <c r="K42" s="68">
        <v>0</v>
      </c>
      <c r="L42" s="68">
        <v>0</v>
      </c>
      <c r="M42" s="68"/>
      <c r="N42" s="67">
        <v>2773.8</v>
      </c>
      <c r="O42" s="67">
        <v>2773.8</v>
      </c>
      <c r="P42" s="70"/>
      <c r="Q42" s="71">
        <f t="shared" ref="Q42:S49" si="142">R42*2.2</f>
        <v>0</v>
      </c>
      <c r="R42" s="71">
        <f t="shared" ref="R42:R48" si="143">V42/110</f>
        <v>0</v>
      </c>
      <c r="S42" s="71">
        <f t="shared" ref="S42:S48" si="144">(AC42*0.675/27)+(AJ42*0.675/40)</f>
        <v>58.943249999999999</v>
      </c>
      <c r="T42" s="70"/>
      <c r="U42" s="204">
        <f t="shared" ref="U42:U49" si="145">$U$12</f>
        <v>0.9</v>
      </c>
      <c r="V42" s="68">
        <f t="shared" ref="V42:V49" si="146">U42*I42</f>
        <v>0</v>
      </c>
      <c r="W42" s="73">
        <f t="shared" ref="W42:W49" si="147">$W$12</f>
        <v>22</v>
      </c>
      <c r="X42" s="73">
        <f t="shared" ref="X42:Z49" si="148">X$12</f>
        <v>10</v>
      </c>
      <c r="Y42" s="73">
        <f t="shared" si="148"/>
        <v>30</v>
      </c>
      <c r="Z42" s="108">
        <f t="shared" si="148"/>
        <v>5</v>
      </c>
      <c r="AA42" s="74"/>
      <c r="AB42" s="204">
        <f t="shared" ref="AB42:AB49" si="149">$AB$12</f>
        <v>0.85</v>
      </c>
      <c r="AC42" s="68">
        <f t="shared" ref="AC42:AC49" si="150">AB42*J42</f>
        <v>2357.73</v>
      </c>
      <c r="AD42" s="73">
        <f t="shared" ref="AD42:AD49" si="151">$AD$12</f>
        <v>22</v>
      </c>
      <c r="AE42" s="73">
        <f t="shared" ref="AE42:AF49" si="152">AE$12</f>
        <v>5</v>
      </c>
      <c r="AF42" s="73">
        <f t="shared" si="152"/>
        <v>35</v>
      </c>
      <c r="AG42" s="108">
        <f t="shared" ref="AG42:AG49" si="153">$AG$12</f>
        <v>15</v>
      </c>
      <c r="AH42" s="75"/>
      <c r="AI42" s="204">
        <f t="shared" ref="AI42:AI49" si="154">$AI$12</f>
        <v>0.85</v>
      </c>
      <c r="AJ42" s="68">
        <f t="shared" ref="AJ42:AJ49" si="155">AI42*K42</f>
        <v>0</v>
      </c>
      <c r="AK42" s="73">
        <f t="shared" ref="AK42:AK49" si="156">$AK$12</f>
        <v>22</v>
      </c>
      <c r="AL42" s="225">
        <f t="shared" ref="AL42:AM49" si="157">AL$12</f>
        <v>7.5</v>
      </c>
      <c r="AM42" s="73">
        <f t="shared" si="157"/>
        <v>50</v>
      </c>
      <c r="AN42" s="76">
        <v>0</v>
      </c>
      <c r="AO42" s="68">
        <v>0</v>
      </c>
      <c r="AP42" s="73">
        <f t="shared" si="137"/>
        <v>15</v>
      </c>
      <c r="AQ42" s="73">
        <f t="shared" si="137"/>
        <v>5</v>
      </c>
      <c r="AR42" s="73">
        <f t="shared" si="137"/>
        <v>20</v>
      </c>
      <c r="AS42" s="108">
        <f t="shared" ref="AS42:AS48" si="158">AS$12</f>
        <v>15</v>
      </c>
      <c r="AT42" s="78"/>
      <c r="AU42" s="204">
        <f t="shared" ref="AU42:AU49" si="159">$AU$12</f>
        <v>1</v>
      </c>
      <c r="AV42" s="68">
        <f t="shared" ref="AV42:AV49" si="160">AU42*L42</f>
        <v>0</v>
      </c>
      <c r="AW42" s="73">
        <f t="shared" ref="AW42:AW49" si="161">AW$12</f>
        <v>4</v>
      </c>
      <c r="AX42" s="75"/>
      <c r="AY42" s="77">
        <f t="shared" ref="AY42:AY49" si="162">V42*W42</f>
        <v>0</v>
      </c>
      <c r="AZ42" s="77">
        <f t="shared" ref="AZ42:AZ49" si="163">AC42*AD42</f>
        <v>51870.06</v>
      </c>
      <c r="BA42" s="77">
        <f t="shared" ref="BA42:BA49" si="164">AJ42*AK42</f>
        <v>0</v>
      </c>
      <c r="BB42" s="77">
        <f t="shared" ref="BB42:BB49" si="165">V42*X42</f>
        <v>0</v>
      </c>
      <c r="BC42" s="77">
        <f t="shared" ref="BC42:BC49" si="166">AC42*AE42</f>
        <v>11788.65</v>
      </c>
      <c r="BD42" s="77">
        <f t="shared" ref="BD42:BD49" si="167">AJ42*AL42</f>
        <v>0</v>
      </c>
      <c r="BE42" s="77">
        <f t="shared" ref="BE42:BE49" si="168">V42*Y42</f>
        <v>0</v>
      </c>
      <c r="BF42" s="77">
        <f t="shared" ref="BF42:BF49" si="169">AC42*AF42</f>
        <v>82520.55</v>
      </c>
      <c r="BG42" s="77">
        <f t="shared" ref="BG42:BG49" si="170">+AJ42*AM42</f>
        <v>0</v>
      </c>
      <c r="BH42" s="77">
        <f t="shared" ref="BH42:BH49" si="171">+AV42*AW42</f>
        <v>0</v>
      </c>
      <c r="BI42" s="110">
        <f t="shared" ref="BI42:BI49" si="172">Z42*V42</f>
        <v>0</v>
      </c>
      <c r="BJ42" s="110">
        <f t="shared" ref="BJ42:BJ49" si="173">+AG42*AC42</f>
        <v>35365.949999999997</v>
      </c>
      <c r="BK42" s="110">
        <f t="shared" ref="BK42:BK49" si="174">+AS42*AJ42</f>
        <v>0</v>
      </c>
      <c r="BL42" s="78"/>
      <c r="BM42" s="79">
        <f t="shared" ref="BM42:BM49" si="175">AY42+AZ42+BA42</f>
        <v>51870.06</v>
      </c>
      <c r="BN42" s="79">
        <f t="shared" ref="BN42:BN49" si="176">+BB42+BC42+BD42</f>
        <v>11788.65</v>
      </c>
      <c r="BO42" s="79">
        <f t="shared" ref="BO42:BO49" si="177">+BE42+BF42+BG42+BH42</f>
        <v>82520.55</v>
      </c>
      <c r="BP42" s="111">
        <f t="shared" ref="BP42:BP49" si="178">SUM(BI42:BK42)</f>
        <v>35365.949999999997</v>
      </c>
      <c r="BR42" s="80">
        <f t="shared" ref="BR42:BR49" si="179">BM42/$BR$6</f>
        <v>28.816699999999997</v>
      </c>
      <c r="BS42" s="80">
        <f t="shared" ref="BS42:BS49" si="180">(BB42+BC42+BD42)/$BS$6</f>
        <v>2.6914726027397258</v>
      </c>
      <c r="BU42" s="81">
        <f t="shared" ref="BU42:BV48" si="181">($BU$3*$R42)+(($J42+$K42)/$BU$5*$BU$7)</f>
        <v>15.41</v>
      </c>
      <c r="BV42" s="81">
        <f t="shared" si="181"/>
        <v>15.41</v>
      </c>
      <c r="BW42" s="79">
        <f t="shared" ref="BW42:BW48" si="182">BV42*$BW$3*$BW$6</f>
        <v>28570.14</v>
      </c>
      <c r="BX42" s="80">
        <f t="shared" ref="BX42:BX48" si="183">(BU42*0.3*50+BU42*0.7*22)*$BX$6</f>
        <v>234.23199999999997</v>
      </c>
      <c r="BY42" s="82"/>
      <c r="BZ42" s="79"/>
      <c r="CA42" s="80"/>
      <c r="CB42" s="82"/>
      <c r="CC42" s="79">
        <f t="shared" ref="CC42:CC49" si="184">BM42/$CC$3+(BN42*(1-$CD$3)/$CC$6)</f>
        <v>19647.75</v>
      </c>
      <c r="CD42" s="80">
        <f t="shared" ref="CD42:CD49" si="185">BR42/$CD$6+BS42/$CD$6</f>
        <v>10.502724200913242</v>
      </c>
      <c r="CF42" s="79">
        <f t="shared" ref="CF42:CF49" si="186">BE42+BF42+BG42+BH42+BW42+BZ42+CC42</f>
        <v>130738.44</v>
      </c>
      <c r="CH42" s="233">
        <f t="shared" ref="CH42:CH49" si="187">$CH$6*O42/1000</f>
        <v>6.9344999999999999</v>
      </c>
      <c r="CJ42" s="233">
        <f t="shared" si="53"/>
        <v>41607</v>
      </c>
    </row>
    <row r="43" spans="2:88" x14ac:dyDescent="0.2">
      <c r="B43" s="64"/>
      <c r="C43" s="65">
        <v>2</v>
      </c>
      <c r="D43" s="66"/>
      <c r="F43" s="67">
        <v>976.07031291141345</v>
      </c>
      <c r="G43" s="67">
        <v>508</v>
      </c>
      <c r="H43" s="69">
        <v>3</v>
      </c>
      <c r="I43" s="68">
        <v>0</v>
      </c>
      <c r="J43" s="67">
        <v>1524</v>
      </c>
      <c r="K43" s="68">
        <v>0</v>
      </c>
      <c r="L43" s="68">
        <v>0</v>
      </c>
      <c r="M43" s="68"/>
      <c r="N43" s="67">
        <v>1524</v>
      </c>
      <c r="O43" s="67">
        <v>1524</v>
      </c>
      <c r="P43" s="70"/>
      <c r="Q43" s="71">
        <f t="shared" si="142"/>
        <v>0</v>
      </c>
      <c r="R43" s="71">
        <f t="shared" si="143"/>
        <v>0</v>
      </c>
      <c r="S43" s="71">
        <f t="shared" si="144"/>
        <v>32.384999999999998</v>
      </c>
      <c r="T43" s="70"/>
      <c r="U43" s="204">
        <f t="shared" si="145"/>
        <v>0.9</v>
      </c>
      <c r="V43" s="68">
        <f t="shared" si="146"/>
        <v>0</v>
      </c>
      <c r="W43" s="73">
        <f t="shared" si="147"/>
        <v>22</v>
      </c>
      <c r="X43" s="73">
        <f t="shared" si="148"/>
        <v>10</v>
      </c>
      <c r="Y43" s="73">
        <f t="shared" si="148"/>
        <v>30</v>
      </c>
      <c r="Z43" s="108">
        <f t="shared" si="148"/>
        <v>5</v>
      </c>
      <c r="AA43" s="74"/>
      <c r="AB43" s="204">
        <f t="shared" si="149"/>
        <v>0.85</v>
      </c>
      <c r="AC43" s="68">
        <f t="shared" si="150"/>
        <v>1295.3999999999999</v>
      </c>
      <c r="AD43" s="73">
        <f t="shared" si="151"/>
        <v>22</v>
      </c>
      <c r="AE43" s="73">
        <f t="shared" si="152"/>
        <v>5</v>
      </c>
      <c r="AF43" s="73">
        <f t="shared" si="152"/>
        <v>35</v>
      </c>
      <c r="AG43" s="108">
        <f t="shared" si="153"/>
        <v>15</v>
      </c>
      <c r="AH43" s="75"/>
      <c r="AI43" s="204">
        <f t="shared" si="154"/>
        <v>0.85</v>
      </c>
      <c r="AJ43" s="68">
        <f t="shared" si="155"/>
        <v>0</v>
      </c>
      <c r="AK43" s="73">
        <f t="shared" si="156"/>
        <v>22</v>
      </c>
      <c r="AL43" s="225">
        <f t="shared" si="157"/>
        <v>7.5</v>
      </c>
      <c r="AM43" s="73">
        <f t="shared" si="157"/>
        <v>50</v>
      </c>
      <c r="AN43" s="83">
        <v>0</v>
      </c>
      <c r="AO43" s="68">
        <v>0</v>
      </c>
      <c r="AP43" s="73">
        <f t="shared" si="137"/>
        <v>15</v>
      </c>
      <c r="AQ43" s="73">
        <f t="shared" si="137"/>
        <v>5</v>
      </c>
      <c r="AR43" s="73">
        <f t="shared" si="137"/>
        <v>20</v>
      </c>
      <c r="AS43" s="108">
        <f t="shared" si="158"/>
        <v>15</v>
      </c>
      <c r="AT43" s="84"/>
      <c r="AU43" s="204">
        <f t="shared" si="159"/>
        <v>1</v>
      </c>
      <c r="AV43" s="68">
        <f t="shared" si="160"/>
        <v>0</v>
      </c>
      <c r="AW43" s="73">
        <f t="shared" si="161"/>
        <v>4</v>
      </c>
      <c r="AX43" s="75"/>
      <c r="AY43" s="77">
        <f t="shared" si="162"/>
        <v>0</v>
      </c>
      <c r="AZ43" s="77">
        <f t="shared" si="163"/>
        <v>28498.799999999996</v>
      </c>
      <c r="BA43" s="77">
        <f t="shared" si="164"/>
        <v>0</v>
      </c>
      <c r="BB43" s="77">
        <f t="shared" si="165"/>
        <v>0</v>
      </c>
      <c r="BC43" s="77">
        <f t="shared" si="166"/>
        <v>6476.9999999999991</v>
      </c>
      <c r="BD43" s="77">
        <f t="shared" si="167"/>
        <v>0</v>
      </c>
      <c r="BE43" s="77">
        <f t="shared" si="168"/>
        <v>0</v>
      </c>
      <c r="BF43" s="77">
        <f t="shared" si="169"/>
        <v>45338.999999999993</v>
      </c>
      <c r="BG43" s="77">
        <f t="shared" si="170"/>
        <v>0</v>
      </c>
      <c r="BH43" s="77">
        <f t="shared" si="171"/>
        <v>0</v>
      </c>
      <c r="BI43" s="110">
        <f t="shared" si="172"/>
        <v>0</v>
      </c>
      <c r="BJ43" s="110">
        <f t="shared" si="173"/>
        <v>19430.999999999996</v>
      </c>
      <c r="BK43" s="110">
        <f t="shared" si="174"/>
        <v>0</v>
      </c>
      <c r="BL43" s="84"/>
      <c r="BM43" s="79">
        <f t="shared" si="175"/>
        <v>28498.799999999996</v>
      </c>
      <c r="BN43" s="79">
        <f t="shared" si="176"/>
        <v>6476.9999999999991</v>
      </c>
      <c r="BO43" s="79">
        <f t="shared" si="177"/>
        <v>45338.999999999993</v>
      </c>
      <c r="BP43" s="111">
        <f t="shared" si="178"/>
        <v>19430.999999999996</v>
      </c>
      <c r="BR43" s="80">
        <f t="shared" si="179"/>
        <v>15.832666666666665</v>
      </c>
      <c r="BS43" s="80">
        <f t="shared" si="180"/>
        <v>1.4787671232876711</v>
      </c>
      <c r="BU43" s="81">
        <f t="shared" si="181"/>
        <v>8.4666666666666668</v>
      </c>
      <c r="BV43" s="81">
        <f t="shared" si="181"/>
        <v>8.4666666666666668</v>
      </c>
      <c r="BW43" s="79">
        <f t="shared" si="182"/>
        <v>15697.2</v>
      </c>
      <c r="BX43" s="80">
        <f t="shared" si="183"/>
        <v>128.69333333333333</v>
      </c>
      <c r="BY43" s="82"/>
      <c r="BZ43" s="79"/>
      <c r="CA43" s="80"/>
      <c r="CB43" s="82"/>
      <c r="CC43" s="79">
        <f t="shared" si="184"/>
        <v>10794.999999999998</v>
      </c>
      <c r="CD43" s="80">
        <f t="shared" si="185"/>
        <v>5.7704779299847786</v>
      </c>
      <c r="CF43" s="79">
        <f t="shared" si="186"/>
        <v>71831.199999999997</v>
      </c>
      <c r="CH43" s="233">
        <f t="shared" si="187"/>
        <v>3.81</v>
      </c>
      <c r="CJ43" s="233">
        <f t="shared" si="53"/>
        <v>22860</v>
      </c>
    </row>
    <row r="44" spans="2:88" x14ac:dyDescent="0.2">
      <c r="B44" s="64"/>
      <c r="C44" s="65">
        <v>3</v>
      </c>
      <c r="D44" s="66"/>
      <c r="F44" s="67">
        <v>3640.6654112294218</v>
      </c>
      <c r="G44" s="67">
        <v>1894.8</v>
      </c>
      <c r="H44" s="69">
        <v>5</v>
      </c>
      <c r="I44" s="68">
        <v>0</v>
      </c>
      <c r="J44" s="67">
        <v>9474</v>
      </c>
      <c r="K44" s="68">
        <v>0</v>
      </c>
      <c r="L44" s="68">
        <v>0</v>
      </c>
      <c r="M44" s="68"/>
      <c r="N44" s="67">
        <v>9474</v>
      </c>
      <c r="O44" s="67">
        <v>9474</v>
      </c>
      <c r="P44" s="70"/>
      <c r="Q44" s="71">
        <f t="shared" si="142"/>
        <v>0</v>
      </c>
      <c r="R44" s="71">
        <f t="shared" si="143"/>
        <v>0</v>
      </c>
      <c r="S44" s="71">
        <f t="shared" si="144"/>
        <v>201.32250000000002</v>
      </c>
      <c r="T44" s="70"/>
      <c r="U44" s="204">
        <f t="shared" si="145"/>
        <v>0.9</v>
      </c>
      <c r="V44" s="68">
        <f t="shared" si="146"/>
        <v>0</v>
      </c>
      <c r="W44" s="73">
        <f t="shared" si="147"/>
        <v>22</v>
      </c>
      <c r="X44" s="73">
        <f t="shared" si="148"/>
        <v>10</v>
      </c>
      <c r="Y44" s="73">
        <f t="shared" si="148"/>
        <v>30</v>
      </c>
      <c r="Z44" s="108">
        <f t="shared" si="148"/>
        <v>5</v>
      </c>
      <c r="AA44" s="74"/>
      <c r="AB44" s="204">
        <f t="shared" si="149"/>
        <v>0.85</v>
      </c>
      <c r="AC44" s="68">
        <f t="shared" si="150"/>
        <v>8052.9</v>
      </c>
      <c r="AD44" s="73">
        <f t="shared" si="151"/>
        <v>22</v>
      </c>
      <c r="AE44" s="73">
        <f t="shared" si="152"/>
        <v>5</v>
      </c>
      <c r="AF44" s="73">
        <f t="shared" si="152"/>
        <v>35</v>
      </c>
      <c r="AG44" s="108">
        <f t="shared" si="153"/>
        <v>15</v>
      </c>
      <c r="AH44" s="75"/>
      <c r="AI44" s="204">
        <f t="shared" si="154"/>
        <v>0.85</v>
      </c>
      <c r="AJ44" s="68">
        <f t="shared" si="155"/>
        <v>0</v>
      </c>
      <c r="AK44" s="73">
        <f t="shared" si="156"/>
        <v>22</v>
      </c>
      <c r="AL44" s="225">
        <f t="shared" si="157"/>
        <v>7.5</v>
      </c>
      <c r="AM44" s="73">
        <f t="shared" si="157"/>
        <v>50</v>
      </c>
      <c r="AN44" s="76">
        <v>0</v>
      </c>
      <c r="AO44" s="68">
        <v>0</v>
      </c>
      <c r="AP44" s="73">
        <f t="shared" si="137"/>
        <v>15</v>
      </c>
      <c r="AQ44" s="73">
        <f t="shared" si="137"/>
        <v>5</v>
      </c>
      <c r="AR44" s="73">
        <f t="shared" si="137"/>
        <v>20</v>
      </c>
      <c r="AS44" s="108">
        <f t="shared" si="158"/>
        <v>15</v>
      </c>
      <c r="AT44" s="84"/>
      <c r="AU44" s="204">
        <f t="shared" si="159"/>
        <v>1</v>
      </c>
      <c r="AV44" s="68">
        <f t="shared" si="160"/>
        <v>0</v>
      </c>
      <c r="AW44" s="73">
        <f t="shared" si="161"/>
        <v>4</v>
      </c>
      <c r="AX44" s="75"/>
      <c r="AY44" s="77">
        <f t="shared" si="162"/>
        <v>0</v>
      </c>
      <c r="AZ44" s="77">
        <f t="shared" si="163"/>
        <v>177163.8</v>
      </c>
      <c r="BA44" s="77">
        <f t="shared" si="164"/>
        <v>0</v>
      </c>
      <c r="BB44" s="77">
        <f t="shared" si="165"/>
        <v>0</v>
      </c>
      <c r="BC44" s="77">
        <f t="shared" si="166"/>
        <v>40264.5</v>
      </c>
      <c r="BD44" s="77">
        <f t="shared" si="167"/>
        <v>0</v>
      </c>
      <c r="BE44" s="77">
        <f t="shared" si="168"/>
        <v>0</v>
      </c>
      <c r="BF44" s="77">
        <f t="shared" si="169"/>
        <v>281851.5</v>
      </c>
      <c r="BG44" s="77">
        <f t="shared" si="170"/>
        <v>0</v>
      </c>
      <c r="BH44" s="77">
        <f t="shared" si="171"/>
        <v>0</v>
      </c>
      <c r="BI44" s="110">
        <f t="shared" si="172"/>
        <v>0</v>
      </c>
      <c r="BJ44" s="110">
        <f t="shared" si="173"/>
        <v>120793.5</v>
      </c>
      <c r="BK44" s="110">
        <f t="shared" si="174"/>
        <v>0</v>
      </c>
      <c r="BL44" s="84"/>
      <c r="BM44" s="79">
        <f t="shared" si="175"/>
        <v>177163.8</v>
      </c>
      <c r="BN44" s="79">
        <f t="shared" si="176"/>
        <v>40264.5</v>
      </c>
      <c r="BO44" s="79">
        <f t="shared" si="177"/>
        <v>281851.5</v>
      </c>
      <c r="BP44" s="111">
        <f t="shared" si="178"/>
        <v>120793.5</v>
      </c>
      <c r="BR44" s="80">
        <f t="shared" si="179"/>
        <v>98.424333333333323</v>
      </c>
      <c r="BS44" s="80">
        <f t="shared" si="180"/>
        <v>9.1928082191780813</v>
      </c>
      <c r="BU44" s="81">
        <f t="shared" si="181"/>
        <v>52.633333333333333</v>
      </c>
      <c r="BV44" s="81">
        <f t="shared" si="181"/>
        <v>52.633333333333333</v>
      </c>
      <c r="BW44" s="79">
        <f t="shared" si="182"/>
        <v>97582.2</v>
      </c>
      <c r="BX44" s="80">
        <f t="shared" si="183"/>
        <v>800.02666666666664</v>
      </c>
      <c r="BY44" s="82"/>
      <c r="BZ44" s="79"/>
      <c r="CA44" s="80"/>
      <c r="CB44" s="82"/>
      <c r="CC44" s="79">
        <f t="shared" si="184"/>
        <v>67107.5</v>
      </c>
      <c r="CD44" s="80">
        <f t="shared" si="185"/>
        <v>35.872380517503807</v>
      </c>
      <c r="CF44" s="79">
        <f t="shared" si="186"/>
        <v>446541.2</v>
      </c>
      <c r="CH44" s="233">
        <f t="shared" si="187"/>
        <v>23.684999999999999</v>
      </c>
      <c r="CJ44" s="233">
        <f t="shared" si="53"/>
        <v>142110</v>
      </c>
    </row>
    <row r="45" spans="2:88" x14ac:dyDescent="0.2">
      <c r="B45" s="64"/>
      <c r="C45" s="65">
        <v>4</v>
      </c>
      <c r="D45" s="66"/>
      <c r="F45" s="67">
        <v>3155.5123521543592</v>
      </c>
      <c r="G45" s="67">
        <v>1642.3</v>
      </c>
      <c r="H45" s="69">
        <v>5</v>
      </c>
      <c r="I45" s="68">
        <v>0</v>
      </c>
      <c r="J45" s="67">
        <v>8211.5</v>
      </c>
      <c r="K45" s="68">
        <v>0</v>
      </c>
      <c r="L45" s="68">
        <v>0</v>
      </c>
      <c r="M45" s="68"/>
      <c r="N45" s="67">
        <v>8211.5</v>
      </c>
      <c r="O45" s="67">
        <v>8211.5</v>
      </c>
      <c r="P45" s="70"/>
      <c r="Q45" s="71">
        <f t="shared" si="142"/>
        <v>0</v>
      </c>
      <c r="R45" s="71">
        <f t="shared" si="143"/>
        <v>0</v>
      </c>
      <c r="S45" s="71">
        <f t="shared" si="144"/>
        <v>174.49437500000002</v>
      </c>
      <c r="T45" s="70"/>
      <c r="U45" s="204">
        <f t="shared" si="145"/>
        <v>0.9</v>
      </c>
      <c r="V45" s="68">
        <f t="shared" si="146"/>
        <v>0</v>
      </c>
      <c r="W45" s="73">
        <f t="shared" si="147"/>
        <v>22</v>
      </c>
      <c r="X45" s="73">
        <f t="shared" si="148"/>
        <v>10</v>
      </c>
      <c r="Y45" s="73">
        <f t="shared" si="148"/>
        <v>30</v>
      </c>
      <c r="Z45" s="108">
        <f t="shared" si="148"/>
        <v>5</v>
      </c>
      <c r="AA45" s="74"/>
      <c r="AB45" s="204">
        <f t="shared" si="149"/>
        <v>0.85</v>
      </c>
      <c r="AC45" s="68">
        <f t="shared" si="150"/>
        <v>6979.7749999999996</v>
      </c>
      <c r="AD45" s="73">
        <f t="shared" si="151"/>
        <v>22</v>
      </c>
      <c r="AE45" s="73">
        <f t="shared" si="152"/>
        <v>5</v>
      </c>
      <c r="AF45" s="73">
        <f t="shared" si="152"/>
        <v>35</v>
      </c>
      <c r="AG45" s="108">
        <f t="shared" si="153"/>
        <v>15</v>
      </c>
      <c r="AH45" s="75"/>
      <c r="AI45" s="204">
        <f t="shared" si="154"/>
        <v>0.85</v>
      </c>
      <c r="AJ45" s="68">
        <f t="shared" si="155"/>
        <v>0</v>
      </c>
      <c r="AK45" s="73">
        <f t="shared" si="156"/>
        <v>22</v>
      </c>
      <c r="AL45" s="225">
        <f t="shared" si="157"/>
        <v>7.5</v>
      </c>
      <c r="AM45" s="73">
        <f t="shared" si="157"/>
        <v>50</v>
      </c>
      <c r="AN45" s="83">
        <v>0</v>
      </c>
      <c r="AO45" s="68">
        <v>0</v>
      </c>
      <c r="AP45" s="73">
        <f t="shared" si="137"/>
        <v>15</v>
      </c>
      <c r="AQ45" s="73">
        <f t="shared" si="137"/>
        <v>5</v>
      </c>
      <c r="AR45" s="73">
        <f t="shared" si="137"/>
        <v>20</v>
      </c>
      <c r="AS45" s="108">
        <f t="shared" si="158"/>
        <v>15</v>
      </c>
      <c r="AT45" s="78"/>
      <c r="AU45" s="204">
        <f t="shared" si="159"/>
        <v>1</v>
      </c>
      <c r="AV45" s="68">
        <f t="shared" si="160"/>
        <v>0</v>
      </c>
      <c r="AW45" s="73">
        <f t="shared" si="161"/>
        <v>4</v>
      </c>
      <c r="AX45" s="75"/>
      <c r="AY45" s="77">
        <f t="shared" si="162"/>
        <v>0</v>
      </c>
      <c r="AZ45" s="77">
        <f t="shared" si="163"/>
        <v>153555.04999999999</v>
      </c>
      <c r="BA45" s="77">
        <f t="shared" si="164"/>
        <v>0</v>
      </c>
      <c r="BB45" s="77">
        <f t="shared" si="165"/>
        <v>0</v>
      </c>
      <c r="BC45" s="77">
        <f t="shared" si="166"/>
        <v>34898.875</v>
      </c>
      <c r="BD45" s="77">
        <f t="shared" si="167"/>
        <v>0</v>
      </c>
      <c r="BE45" s="77">
        <f t="shared" si="168"/>
        <v>0</v>
      </c>
      <c r="BF45" s="77">
        <f t="shared" si="169"/>
        <v>244292.125</v>
      </c>
      <c r="BG45" s="77">
        <f t="shared" si="170"/>
        <v>0</v>
      </c>
      <c r="BH45" s="77">
        <f t="shared" si="171"/>
        <v>0</v>
      </c>
      <c r="BI45" s="110">
        <f t="shared" si="172"/>
        <v>0</v>
      </c>
      <c r="BJ45" s="110">
        <f t="shared" si="173"/>
        <v>104696.625</v>
      </c>
      <c r="BK45" s="110">
        <f t="shared" si="174"/>
        <v>0</v>
      </c>
      <c r="BL45" s="78"/>
      <c r="BM45" s="79">
        <f t="shared" si="175"/>
        <v>153555.04999999999</v>
      </c>
      <c r="BN45" s="79">
        <f t="shared" si="176"/>
        <v>34898.875</v>
      </c>
      <c r="BO45" s="79">
        <f t="shared" si="177"/>
        <v>244292.125</v>
      </c>
      <c r="BP45" s="111">
        <f t="shared" si="178"/>
        <v>104696.625</v>
      </c>
      <c r="BR45" s="80">
        <f t="shared" si="179"/>
        <v>85.308361111111111</v>
      </c>
      <c r="BS45" s="80">
        <f t="shared" si="180"/>
        <v>7.9677796803652967</v>
      </c>
      <c r="BU45" s="81">
        <f t="shared" si="181"/>
        <v>45.61944444444444</v>
      </c>
      <c r="BV45" s="81">
        <f t="shared" si="181"/>
        <v>45.61944444444444</v>
      </c>
      <c r="BW45" s="79">
        <f t="shared" si="182"/>
        <v>84578.45</v>
      </c>
      <c r="BX45" s="80">
        <f t="shared" si="183"/>
        <v>693.41555555555544</v>
      </c>
      <c r="BY45" s="82"/>
      <c r="BZ45" s="79"/>
      <c r="CA45" s="80"/>
      <c r="CB45" s="82"/>
      <c r="CC45" s="79">
        <f t="shared" si="184"/>
        <v>58164.791666666664</v>
      </c>
      <c r="CD45" s="80">
        <f t="shared" si="185"/>
        <v>31.092046930492138</v>
      </c>
      <c r="CF45" s="79">
        <f t="shared" si="186"/>
        <v>387035.3666666667</v>
      </c>
      <c r="CH45" s="233">
        <f t="shared" si="187"/>
        <v>20.528749999999999</v>
      </c>
      <c r="CJ45" s="233">
        <f t="shared" si="53"/>
        <v>123172.5</v>
      </c>
    </row>
    <row r="46" spans="2:88" x14ac:dyDescent="0.2">
      <c r="B46" s="64"/>
      <c r="C46" s="65">
        <v>5</v>
      </c>
      <c r="D46" s="66"/>
      <c r="F46" s="67">
        <v>1613.974533160605</v>
      </c>
      <c r="G46" s="67">
        <v>840</v>
      </c>
      <c r="H46" s="69">
        <v>6</v>
      </c>
      <c r="I46" s="68">
        <v>0</v>
      </c>
      <c r="J46" s="67">
        <v>5040</v>
      </c>
      <c r="K46" s="68">
        <v>0</v>
      </c>
      <c r="L46" s="68">
        <v>0</v>
      </c>
      <c r="M46" s="68"/>
      <c r="N46" s="67">
        <v>5040</v>
      </c>
      <c r="O46" s="67">
        <v>5040</v>
      </c>
      <c r="P46" s="70"/>
      <c r="Q46" s="71">
        <f t="shared" si="142"/>
        <v>0</v>
      </c>
      <c r="R46" s="71">
        <f t="shared" si="143"/>
        <v>0</v>
      </c>
      <c r="S46" s="71">
        <f t="shared" si="144"/>
        <v>107.10000000000001</v>
      </c>
      <c r="T46" s="70"/>
      <c r="U46" s="204">
        <f t="shared" si="145"/>
        <v>0.9</v>
      </c>
      <c r="V46" s="68">
        <f t="shared" si="146"/>
        <v>0</v>
      </c>
      <c r="W46" s="73">
        <f t="shared" si="147"/>
        <v>22</v>
      </c>
      <c r="X46" s="73">
        <f t="shared" si="148"/>
        <v>10</v>
      </c>
      <c r="Y46" s="73">
        <f t="shared" si="148"/>
        <v>30</v>
      </c>
      <c r="Z46" s="108">
        <f t="shared" si="148"/>
        <v>5</v>
      </c>
      <c r="AA46" s="74"/>
      <c r="AB46" s="204">
        <f t="shared" si="149"/>
        <v>0.85</v>
      </c>
      <c r="AC46" s="68">
        <f t="shared" si="150"/>
        <v>4284</v>
      </c>
      <c r="AD46" s="73">
        <f t="shared" si="151"/>
        <v>22</v>
      </c>
      <c r="AE46" s="73">
        <f t="shared" si="152"/>
        <v>5</v>
      </c>
      <c r="AF46" s="73">
        <f t="shared" si="152"/>
        <v>35</v>
      </c>
      <c r="AG46" s="108">
        <f t="shared" si="153"/>
        <v>15</v>
      </c>
      <c r="AH46" s="75"/>
      <c r="AI46" s="204">
        <f t="shared" si="154"/>
        <v>0.85</v>
      </c>
      <c r="AJ46" s="68">
        <f t="shared" si="155"/>
        <v>0</v>
      </c>
      <c r="AK46" s="73">
        <f t="shared" si="156"/>
        <v>22</v>
      </c>
      <c r="AL46" s="225">
        <f t="shared" si="157"/>
        <v>7.5</v>
      </c>
      <c r="AM46" s="73">
        <f t="shared" si="157"/>
        <v>50</v>
      </c>
      <c r="AN46" s="83">
        <v>0</v>
      </c>
      <c r="AO46" s="68">
        <v>0</v>
      </c>
      <c r="AP46" s="73">
        <f t="shared" si="137"/>
        <v>15</v>
      </c>
      <c r="AQ46" s="73">
        <f t="shared" si="137"/>
        <v>5</v>
      </c>
      <c r="AR46" s="73">
        <f t="shared" si="137"/>
        <v>20</v>
      </c>
      <c r="AS46" s="108">
        <f t="shared" si="158"/>
        <v>15</v>
      </c>
      <c r="AT46" s="78"/>
      <c r="AU46" s="204">
        <f t="shared" si="159"/>
        <v>1</v>
      </c>
      <c r="AV46" s="68">
        <f t="shared" si="160"/>
        <v>0</v>
      </c>
      <c r="AW46" s="73">
        <f t="shared" si="161"/>
        <v>4</v>
      </c>
      <c r="AX46" s="75"/>
      <c r="AY46" s="77">
        <f t="shared" si="162"/>
        <v>0</v>
      </c>
      <c r="AZ46" s="77">
        <f t="shared" si="163"/>
        <v>94248</v>
      </c>
      <c r="BA46" s="77">
        <f t="shared" si="164"/>
        <v>0</v>
      </c>
      <c r="BB46" s="77">
        <f t="shared" si="165"/>
        <v>0</v>
      </c>
      <c r="BC46" s="77">
        <f t="shared" si="166"/>
        <v>21420</v>
      </c>
      <c r="BD46" s="77">
        <f t="shared" si="167"/>
        <v>0</v>
      </c>
      <c r="BE46" s="77">
        <f t="shared" si="168"/>
        <v>0</v>
      </c>
      <c r="BF46" s="77">
        <f t="shared" si="169"/>
        <v>149940</v>
      </c>
      <c r="BG46" s="77">
        <f t="shared" si="170"/>
        <v>0</v>
      </c>
      <c r="BH46" s="77">
        <f t="shared" si="171"/>
        <v>0</v>
      </c>
      <c r="BI46" s="110">
        <f t="shared" si="172"/>
        <v>0</v>
      </c>
      <c r="BJ46" s="110">
        <f t="shared" si="173"/>
        <v>64260</v>
      </c>
      <c r="BK46" s="110">
        <f t="shared" si="174"/>
        <v>0</v>
      </c>
      <c r="BL46" s="78"/>
      <c r="BM46" s="79">
        <f t="shared" si="175"/>
        <v>94248</v>
      </c>
      <c r="BN46" s="79">
        <f t="shared" si="176"/>
        <v>21420</v>
      </c>
      <c r="BO46" s="79">
        <f t="shared" si="177"/>
        <v>149940</v>
      </c>
      <c r="BP46" s="111">
        <f t="shared" si="178"/>
        <v>64260</v>
      </c>
      <c r="BR46" s="80">
        <f t="shared" si="179"/>
        <v>52.36</v>
      </c>
      <c r="BS46" s="80">
        <f t="shared" si="180"/>
        <v>4.8904109589041092</v>
      </c>
      <c r="BU46" s="81">
        <f t="shared" si="181"/>
        <v>27.999999999999996</v>
      </c>
      <c r="BV46" s="81">
        <f t="shared" si="181"/>
        <v>27.999999999999996</v>
      </c>
      <c r="BW46" s="79">
        <f t="shared" si="182"/>
        <v>51911.999999999985</v>
      </c>
      <c r="BX46" s="80">
        <f t="shared" si="183"/>
        <v>425.59999999999991</v>
      </c>
      <c r="BY46" s="82"/>
      <c r="BZ46" s="79"/>
      <c r="CA46" s="80"/>
      <c r="CB46" s="82"/>
      <c r="CC46" s="79">
        <f t="shared" si="184"/>
        <v>35700</v>
      </c>
      <c r="CD46" s="80">
        <f t="shared" si="185"/>
        <v>19.083470319634703</v>
      </c>
      <c r="CF46" s="79">
        <f t="shared" si="186"/>
        <v>237552</v>
      </c>
      <c r="CH46" s="233">
        <f t="shared" si="187"/>
        <v>12.6</v>
      </c>
      <c r="CJ46" s="233">
        <f t="shared" si="53"/>
        <v>75600</v>
      </c>
    </row>
    <row r="47" spans="2:88" x14ac:dyDescent="0.2">
      <c r="B47" s="64"/>
      <c r="C47" s="65">
        <v>6</v>
      </c>
      <c r="D47" s="66"/>
      <c r="F47" s="67">
        <v>3635.2854961188864</v>
      </c>
      <c r="G47" s="67">
        <v>1892</v>
      </c>
      <c r="H47" s="69">
        <v>5</v>
      </c>
      <c r="I47" s="68">
        <v>9460</v>
      </c>
      <c r="J47" s="67">
        <v>0</v>
      </c>
      <c r="K47" s="68">
        <v>0</v>
      </c>
      <c r="L47" s="68">
        <v>0</v>
      </c>
      <c r="M47" s="68"/>
      <c r="N47" s="67">
        <v>9460</v>
      </c>
      <c r="O47" s="67">
        <v>9460</v>
      </c>
      <c r="P47" s="70"/>
      <c r="Q47" s="71">
        <f t="shared" si="142"/>
        <v>170.28000000000003</v>
      </c>
      <c r="R47" s="71">
        <f t="shared" si="143"/>
        <v>77.400000000000006</v>
      </c>
      <c r="S47" s="71">
        <f t="shared" si="144"/>
        <v>0</v>
      </c>
      <c r="T47" s="70"/>
      <c r="U47" s="204">
        <f t="shared" si="145"/>
        <v>0.9</v>
      </c>
      <c r="V47" s="68">
        <f t="shared" si="146"/>
        <v>8514</v>
      </c>
      <c r="W47" s="73">
        <f t="shared" si="147"/>
        <v>22</v>
      </c>
      <c r="X47" s="73">
        <f t="shared" si="148"/>
        <v>10</v>
      </c>
      <c r="Y47" s="73">
        <f t="shared" si="148"/>
        <v>30</v>
      </c>
      <c r="Z47" s="108">
        <f t="shared" si="148"/>
        <v>5</v>
      </c>
      <c r="AA47" s="74"/>
      <c r="AB47" s="204">
        <f t="shared" si="149"/>
        <v>0.85</v>
      </c>
      <c r="AC47" s="68">
        <f t="shared" si="150"/>
        <v>0</v>
      </c>
      <c r="AD47" s="73">
        <f t="shared" si="151"/>
        <v>22</v>
      </c>
      <c r="AE47" s="73">
        <f t="shared" si="152"/>
        <v>5</v>
      </c>
      <c r="AF47" s="73">
        <f t="shared" si="152"/>
        <v>35</v>
      </c>
      <c r="AG47" s="108">
        <f t="shared" si="153"/>
        <v>15</v>
      </c>
      <c r="AH47" s="75"/>
      <c r="AI47" s="204">
        <f t="shared" si="154"/>
        <v>0.85</v>
      </c>
      <c r="AJ47" s="68">
        <f t="shared" si="155"/>
        <v>0</v>
      </c>
      <c r="AK47" s="73">
        <f t="shared" si="156"/>
        <v>22</v>
      </c>
      <c r="AL47" s="225">
        <f t="shared" si="157"/>
        <v>7.5</v>
      </c>
      <c r="AM47" s="73">
        <f t="shared" si="157"/>
        <v>50</v>
      </c>
      <c r="AN47" s="83">
        <v>0</v>
      </c>
      <c r="AO47" s="68">
        <v>0</v>
      </c>
      <c r="AP47" s="73">
        <f t="shared" si="137"/>
        <v>15</v>
      </c>
      <c r="AQ47" s="73">
        <f t="shared" si="137"/>
        <v>5</v>
      </c>
      <c r="AR47" s="73">
        <f t="shared" si="137"/>
        <v>20</v>
      </c>
      <c r="AS47" s="108">
        <f t="shared" si="158"/>
        <v>15</v>
      </c>
      <c r="AT47" s="78"/>
      <c r="AU47" s="204">
        <f t="shared" si="159"/>
        <v>1</v>
      </c>
      <c r="AV47" s="68">
        <f t="shared" si="160"/>
        <v>0</v>
      </c>
      <c r="AW47" s="73">
        <f t="shared" si="161"/>
        <v>4</v>
      </c>
      <c r="AX47" s="75"/>
      <c r="AY47" s="77">
        <f t="shared" si="162"/>
        <v>187308</v>
      </c>
      <c r="AZ47" s="77">
        <f t="shared" si="163"/>
        <v>0</v>
      </c>
      <c r="BA47" s="77">
        <f t="shared" si="164"/>
        <v>0</v>
      </c>
      <c r="BB47" s="77">
        <f t="shared" si="165"/>
        <v>85140</v>
      </c>
      <c r="BC47" s="77">
        <f t="shared" si="166"/>
        <v>0</v>
      </c>
      <c r="BD47" s="77">
        <f t="shared" si="167"/>
        <v>0</v>
      </c>
      <c r="BE47" s="77">
        <f t="shared" si="168"/>
        <v>255420</v>
      </c>
      <c r="BF47" s="77">
        <f t="shared" si="169"/>
        <v>0</v>
      </c>
      <c r="BG47" s="77">
        <f t="shared" si="170"/>
        <v>0</v>
      </c>
      <c r="BH47" s="77">
        <f t="shared" si="171"/>
        <v>0</v>
      </c>
      <c r="BI47" s="110">
        <f t="shared" si="172"/>
        <v>42570</v>
      </c>
      <c r="BJ47" s="110">
        <f t="shared" si="173"/>
        <v>0</v>
      </c>
      <c r="BK47" s="110">
        <f t="shared" si="174"/>
        <v>0</v>
      </c>
      <c r="BL47" s="78"/>
      <c r="BM47" s="79">
        <f t="shared" si="175"/>
        <v>187308</v>
      </c>
      <c r="BN47" s="79">
        <f t="shared" si="176"/>
        <v>85140</v>
      </c>
      <c r="BO47" s="79">
        <f t="shared" si="177"/>
        <v>255420</v>
      </c>
      <c r="BP47" s="111">
        <f t="shared" si="178"/>
        <v>42570</v>
      </c>
      <c r="BR47" s="80">
        <f t="shared" si="179"/>
        <v>104.06</v>
      </c>
      <c r="BS47" s="80">
        <f t="shared" si="180"/>
        <v>19.438356164383563</v>
      </c>
      <c r="BU47" s="81">
        <f t="shared" si="181"/>
        <v>16.254000000000001</v>
      </c>
      <c r="BV47" s="81">
        <f t="shared" si="181"/>
        <v>16.254000000000001</v>
      </c>
      <c r="BW47" s="79">
        <f t="shared" si="182"/>
        <v>30134.916000000001</v>
      </c>
      <c r="BX47" s="80">
        <f t="shared" si="183"/>
        <v>247.0608</v>
      </c>
      <c r="BY47" s="82"/>
      <c r="BZ47" s="79"/>
      <c r="CA47" s="80"/>
      <c r="CB47" s="82"/>
      <c r="CC47" s="79">
        <f t="shared" si="184"/>
        <v>79464</v>
      </c>
      <c r="CD47" s="80">
        <f t="shared" si="185"/>
        <v>41.166118721461189</v>
      </c>
      <c r="CF47" s="79">
        <f t="shared" si="186"/>
        <v>365018.91600000003</v>
      </c>
      <c r="CH47" s="233">
        <f t="shared" si="187"/>
        <v>23.65</v>
      </c>
      <c r="CJ47" s="233">
        <f t="shared" si="53"/>
        <v>141900</v>
      </c>
    </row>
    <row r="48" spans="2:88" x14ac:dyDescent="0.2">
      <c r="B48" s="64"/>
      <c r="C48" s="65">
        <v>7</v>
      </c>
      <c r="D48" s="66"/>
      <c r="F48" s="67">
        <v>3445.0670689963868</v>
      </c>
      <c r="G48" s="67">
        <v>1793</v>
      </c>
      <c r="H48" s="69">
        <v>5</v>
      </c>
      <c r="I48" s="68">
        <v>8965</v>
      </c>
      <c r="J48" s="67">
        <v>0</v>
      </c>
      <c r="K48" s="68">
        <v>0</v>
      </c>
      <c r="L48" s="68">
        <v>0</v>
      </c>
      <c r="M48" s="68"/>
      <c r="N48" s="67">
        <v>8965</v>
      </c>
      <c r="O48" s="67">
        <v>8965</v>
      </c>
      <c r="P48" s="70"/>
      <c r="Q48" s="71">
        <f t="shared" si="142"/>
        <v>161.37</v>
      </c>
      <c r="R48" s="71">
        <f t="shared" si="143"/>
        <v>73.349999999999994</v>
      </c>
      <c r="S48" s="71">
        <f t="shared" si="144"/>
        <v>0</v>
      </c>
      <c r="T48" s="70"/>
      <c r="U48" s="204">
        <f t="shared" si="145"/>
        <v>0.9</v>
      </c>
      <c r="V48" s="68">
        <f t="shared" si="146"/>
        <v>8068.5</v>
      </c>
      <c r="W48" s="73">
        <f t="shared" si="147"/>
        <v>22</v>
      </c>
      <c r="X48" s="73">
        <f t="shared" si="148"/>
        <v>10</v>
      </c>
      <c r="Y48" s="73">
        <f t="shared" si="148"/>
        <v>30</v>
      </c>
      <c r="Z48" s="108">
        <f t="shared" si="148"/>
        <v>5</v>
      </c>
      <c r="AA48" s="74"/>
      <c r="AB48" s="204">
        <f t="shared" si="149"/>
        <v>0.85</v>
      </c>
      <c r="AC48" s="68">
        <f t="shared" si="150"/>
        <v>0</v>
      </c>
      <c r="AD48" s="73">
        <f t="shared" si="151"/>
        <v>22</v>
      </c>
      <c r="AE48" s="73">
        <f t="shared" si="152"/>
        <v>5</v>
      </c>
      <c r="AF48" s="73">
        <f t="shared" si="152"/>
        <v>35</v>
      </c>
      <c r="AG48" s="108">
        <f t="shared" si="153"/>
        <v>15</v>
      </c>
      <c r="AH48" s="75"/>
      <c r="AI48" s="204">
        <f t="shared" si="154"/>
        <v>0.85</v>
      </c>
      <c r="AJ48" s="68">
        <f t="shared" si="155"/>
        <v>0</v>
      </c>
      <c r="AK48" s="73">
        <f t="shared" si="156"/>
        <v>22</v>
      </c>
      <c r="AL48" s="225">
        <f t="shared" si="157"/>
        <v>7.5</v>
      </c>
      <c r="AM48" s="73">
        <f t="shared" si="157"/>
        <v>50</v>
      </c>
      <c r="AN48" s="83">
        <v>0</v>
      </c>
      <c r="AO48" s="68">
        <v>0</v>
      </c>
      <c r="AP48" s="73">
        <f t="shared" si="137"/>
        <v>15</v>
      </c>
      <c r="AQ48" s="73">
        <f t="shared" si="137"/>
        <v>5</v>
      </c>
      <c r="AR48" s="73">
        <f t="shared" si="137"/>
        <v>20</v>
      </c>
      <c r="AS48" s="108">
        <f t="shared" si="158"/>
        <v>15</v>
      </c>
      <c r="AT48" s="78"/>
      <c r="AU48" s="204">
        <f t="shared" si="159"/>
        <v>1</v>
      </c>
      <c r="AV48" s="68">
        <f t="shared" si="160"/>
        <v>0</v>
      </c>
      <c r="AW48" s="73">
        <f t="shared" si="161"/>
        <v>4</v>
      </c>
      <c r="AX48" s="75"/>
      <c r="AY48" s="77">
        <f t="shared" si="162"/>
        <v>177507</v>
      </c>
      <c r="AZ48" s="77">
        <f t="shared" si="163"/>
        <v>0</v>
      </c>
      <c r="BA48" s="77">
        <f t="shared" si="164"/>
        <v>0</v>
      </c>
      <c r="BB48" s="77">
        <f t="shared" si="165"/>
        <v>80685</v>
      </c>
      <c r="BC48" s="77">
        <f t="shared" si="166"/>
        <v>0</v>
      </c>
      <c r="BD48" s="77">
        <f t="shared" si="167"/>
        <v>0</v>
      </c>
      <c r="BE48" s="77">
        <f t="shared" si="168"/>
        <v>242055</v>
      </c>
      <c r="BF48" s="77">
        <f t="shared" si="169"/>
        <v>0</v>
      </c>
      <c r="BG48" s="77">
        <f t="shared" si="170"/>
        <v>0</v>
      </c>
      <c r="BH48" s="77">
        <f t="shared" si="171"/>
        <v>0</v>
      </c>
      <c r="BI48" s="110">
        <f t="shared" si="172"/>
        <v>40342.5</v>
      </c>
      <c r="BJ48" s="110">
        <f t="shared" si="173"/>
        <v>0</v>
      </c>
      <c r="BK48" s="110">
        <f t="shared" si="174"/>
        <v>0</v>
      </c>
      <c r="BL48" s="78"/>
      <c r="BM48" s="79">
        <f t="shared" si="175"/>
        <v>177507</v>
      </c>
      <c r="BN48" s="79">
        <f t="shared" si="176"/>
        <v>80685</v>
      </c>
      <c r="BO48" s="79">
        <f t="shared" si="177"/>
        <v>242055</v>
      </c>
      <c r="BP48" s="111">
        <f t="shared" si="178"/>
        <v>40342.5</v>
      </c>
      <c r="BR48" s="80">
        <f t="shared" si="179"/>
        <v>98.614999999999995</v>
      </c>
      <c r="BS48" s="80">
        <f t="shared" si="180"/>
        <v>18.421232876712327</v>
      </c>
      <c r="BU48" s="81">
        <f t="shared" si="181"/>
        <v>15.403499999999998</v>
      </c>
      <c r="BV48" s="81">
        <f t="shared" si="181"/>
        <v>15.403499999999998</v>
      </c>
      <c r="BW48" s="79">
        <f t="shared" si="182"/>
        <v>28558.088999999996</v>
      </c>
      <c r="BX48" s="80">
        <f t="shared" si="183"/>
        <v>234.13319999999996</v>
      </c>
      <c r="BY48" s="82"/>
      <c r="BZ48" s="79"/>
      <c r="CA48" s="80"/>
      <c r="CB48" s="82"/>
      <c r="CC48" s="79">
        <f t="shared" si="184"/>
        <v>75306</v>
      </c>
      <c r="CD48" s="80">
        <f t="shared" si="185"/>
        <v>39.012077625570768</v>
      </c>
      <c r="CF48" s="79">
        <f t="shared" si="186"/>
        <v>345919.08899999998</v>
      </c>
      <c r="CH48" s="233">
        <f t="shared" si="187"/>
        <v>22.412500000000001</v>
      </c>
      <c r="CJ48" s="233">
        <f t="shared" si="53"/>
        <v>134475</v>
      </c>
    </row>
    <row r="49" spans="2:88" s="147" customFormat="1" x14ac:dyDescent="0.2">
      <c r="B49" s="216" t="s">
        <v>107</v>
      </c>
      <c r="C49" s="145"/>
      <c r="D49" s="196" t="s">
        <v>108</v>
      </c>
      <c r="F49" s="148"/>
      <c r="G49" s="148"/>
      <c r="H49" s="149"/>
      <c r="I49" s="148"/>
      <c r="J49" s="148"/>
      <c r="K49" s="148"/>
      <c r="L49" s="148">
        <v>14338</v>
      </c>
      <c r="M49" s="148"/>
      <c r="N49" s="148"/>
      <c r="O49" s="148">
        <v>14338</v>
      </c>
      <c r="P49" s="150"/>
      <c r="Q49" s="151">
        <f t="shared" si="142"/>
        <v>0</v>
      </c>
      <c r="R49" s="151">
        <f t="shared" si="142"/>
        <v>0</v>
      </c>
      <c r="S49" s="151">
        <f t="shared" si="142"/>
        <v>0</v>
      </c>
      <c r="T49" s="150"/>
      <c r="U49" s="213">
        <f t="shared" si="145"/>
        <v>0.9</v>
      </c>
      <c r="V49" s="148">
        <f t="shared" si="146"/>
        <v>0</v>
      </c>
      <c r="W49" s="152">
        <f t="shared" si="147"/>
        <v>22</v>
      </c>
      <c r="X49" s="152">
        <f t="shared" si="148"/>
        <v>10</v>
      </c>
      <c r="Y49" s="152">
        <f t="shared" si="148"/>
        <v>30</v>
      </c>
      <c r="Z49" s="108">
        <f t="shared" si="148"/>
        <v>5</v>
      </c>
      <c r="AA49" s="74"/>
      <c r="AB49" s="213">
        <f t="shared" si="149"/>
        <v>0.85</v>
      </c>
      <c r="AC49" s="148">
        <f t="shared" si="150"/>
        <v>0</v>
      </c>
      <c r="AD49" s="152">
        <f t="shared" si="151"/>
        <v>22</v>
      </c>
      <c r="AE49" s="152">
        <f t="shared" si="152"/>
        <v>5</v>
      </c>
      <c r="AF49" s="152">
        <f t="shared" si="152"/>
        <v>35</v>
      </c>
      <c r="AG49" s="108">
        <f t="shared" si="153"/>
        <v>15</v>
      </c>
      <c r="AH49" s="74"/>
      <c r="AI49" s="213">
        <f t="shared" si="154"/>
        <v>0.85</v>
      </c>
      <c r="AJ49" s="148">
        <f t="shared" si="155"/>
        <v>0</v>
      </c>
      <c r="AK49" s="152">
        <f t="shared" si="156"/>
        <v>22</v>
      </c>
      <c r="AL49" s="224">
        <f t="shared" si="157"/>
        <v>7.5</v>
      </c>
      <c r="AM49" s="152">
        <f t="shared" si="157"/>
        <v>50</v>
      </c>
      <c r="AN49" s="166"/>
      <c r="AO49" s="163"/>
      <c r="AP49" s="165"/>
      <c r="AQ49" s="165"/>
      <c r="AR49" s="165"/>
      <c r="AS49" s="108">
        <f>AS$12</f>
        <v>15</v>
      </c>
      <c r="AT49" s="171"/>
      <c r="AU49" s="213">
        <f t="shared" si="159"/>
        <v>1</v>
      </c>
      <c r="AV49" s="148">
        <f t="shared" si="160"/>
        <v>14338</v>
      </c>
      <c r="AW49" s="152">
        <f t="shared" si="161"/>
        <v>4</v>
      </c>
      <c r="AX49" s="74"/>
      <c r="AY49" s="153">
        <f t="shared" si="162"/>
        <v>0</v>
      </c>
      <c r="AZ49" s="153">
        <f t="shared" si="163"/>
        <v>0</v>
      </c>
      <c r="BA49" s="153">
        <f t="shared" si="164"/>
        <v>0</v>
      </c>
      <c r="BB49" s="153">
        <f t="shared" si="165"/>
        <v>0</v>
      </c>
      <c r="BC49" s="153">
        <f t="shared" si="166"/>
        <v>0</v>
      </c>
      <c r="BD49" s="153">
        <f t="shared" si="167"/>
        <v>0</v>
      </c>
      <c r="BE49" s="153">
        <f t="shared" si="168"/>
        <v>0</v>
      </c>
      <c r="BF49" s="153">
        <f t="shared" si="169"/>
        <v>0</v>
      </c>
      <c r="BG49" s="153">
        <f t="shared" si="170"/>
        <v>0</v>
      </c>
      <c r="BH49" s="153">
        <f t="shared" si="171"/>
        <v>57352</v>
      </c>
      <c r="BI49" s="110">
        <f t="shared" si="172"/>
        <v>0</v>
      </c>
      <c r="BJ49" s="110">
        <f t="shared" si="173"/>
        <v>0</v>
      </c>
      <c r="BK49" s="110">
        <f t="shared" si="174"/>
        <v>0</v>
      </c>
      <c r="BL49" s="171"/>
      <c r="BM49" s="154">
        <f t="shared" si="175"/>
        <v>0</v>
      </c>
      <c r="BN49" s="154">
        <f t="shared" si="176"/>
        <v>0</v>
      </c>
      <c r="BO49" s="154">
        <f t="shared" si="177"/>
        <v>57352</v>
      </c>
      <c r="BP49" s="111">
        <f t="shared" si="178"/>
        <v>0</v>
      </c>
      <c r="BR49" s="155">
        <f t="shared" si="179"/>
        <v>0</v>
      </c>
      <c r="BS49" s="155">
        <f t="shared" si="180"/>
        <v>0</v>
      </c>
      <c r="BU49" s="156"/>
      <c r="BV49" s="156"/>
      <c r="BW49" s="154"/>
      <c r="BX49" s="155"/>
      <c r="BY49" s="157"/>
      <c r="BZ49" s="154"/>
      <c r="CA49" s="155"/>
      <c r="CB49" s="157"/>
      <c r="CC49" s="79">
        <f t="shared" si="184"/>
        <v>0</v>
      </c>
      <c r="CD49" s="80">
        <f t="shared" si="185"/>
        <v>0</v>
      </c>
      <c r="CE49" s="3"/>
      <c r="CF49" s="79">
        <f t="shared" si="186"/>
        <v>57352</v>
      </c>
      <c r="CG49" s="3"/>
      <c r="CH49" s="233">
        <f t="shared" si="187"/>
        <v>35.844999999999999</v>
      </c>
      <c r="CJ49" s="233">
        <f t="shared" si="53"/>
        <v>0</v>
      </c>
    </row>
    <row r="50" spans="2:88" x14ac:dyDescent="0.2">
      <c r="B50" s="85"/>
      <c r="C50" s="86"/>
      <c r="D50" s="6"/>
      <c r="F50" s="3"/>
      <c r="G50" s="3"/>
      <c r="H50" s="40"/>
      <c r="I50" s="84"/>
      <c r="J50" s="70"/>
      <c r="K50" s="70"/>
      <c r="L50" s="70"/>
      <c r="M50" s="70"/>
      <c r="N50" s="84"/>
      <c r="O50" s="84"/>
      <c r="P50" s="84"/>
      <c r="Q50" s="87"/>
      <c r="R50" s="88"/>
      <c r="S50" s="88"/>
      <c r="T50" s="84"/>
      <c r="U50" s="205"/>
      <c r="V50" s="84"/>
      <c r="W50" s="75"/>
      <c r="X50" s="75"/>
      <c r="Y50" s="75"/>
      <c r="Z50" s="75"/>
      <c r="AA50" s="74"/>
      <c r="AB50" s="205"/>
      <c r="AC50" s="84"/>
      <c r="AD50" s="78"/>
      <c r="AE50" s="78"/>
      <c r="AF50" s="78"/>
      <c r="AG50" s="78"/>
      <c r="AH50" s="78"/>
      <c r="AI50" s="89"/>
      <c r="AJ50" s="84"/>
      <c r="AK50" s="78"/>
      <c r="AL50" s="222"/>
      <c r="AM50" s="78"/>
      <c r="AN50" s="89"/>
      <c r="AO50" s="84"/>
      <c r="AP50" s="78"/>
      <c r="AQ50" s="78"/>
      <c r="AR50" s="78"/>
      <c r="AS50" s="78"/>
      <c r="AT50" s="78"/>
      <c r="AU50" s="89"/>
      <c r="AV50" s="84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91"/>
      <c r="BN50" s="91"/>
      <c r="BO50" s="91"/>
      <c r="BP50" s="91"/>
      <c r="BR50" s="82"/>
      <c r="BS50" s="82"/>
      <c r="BU50" s="92"/>
      <c r="BV50" s="92"/>
      <c r="BW50" s="91"/>
      <c r="BX50" s="82"/>
      <c r="BY50" s="82"/>
      <c r="BZ50" s="91"/>
      <c r="CA50" s="82"/>
      <c r="CB50" s="82"/>
      <c r="CC50" s="91"/>
      <c r="CD50" s="82"/>
      <c r="CF50" s="91"/>
      <c r="CH50" s="228"/>
      <c r="CJ50" s="228">
        <f t="shared" si="53"/>
        <v>0</v>
      </c>
    </row>
    <row r="51" spans="2:88" x14ac:dyDescent="0.2">
      <c r="B51" s="323" t="s">
        <v>77</v>
      </c>
      <c r="C51" s="323"/>
      <c r="D51" s="323"/>
      <c r="F51" s="94">
        <f t="shared" ref="F51:N51" si="188">SUM(F52:F54)</f>
        <v>5822.2500000000009</v>
      </c>
      <c r="G51" s="94">
        <f t="shared" si="188"/>
        <v>3417</v>
      </c>
      <c r="H51" s="94"/>
      <c r="I51" s="94">
        <f t="shared" si="188"/>
        <v>0</v>
      </c>
      <c r="J51" s="94">
        <f t="shared" si="188"/>
        <v>4330</v>
      </c>
      <c r="K51" s="94">
        <f t="shared" si="188"/>
        <v>0</v>
      </c>
      <c r="L51" s="94">
        <f t="shared" si="188"/>
        <v>12584</v>
      </c>
      <c r="M51" s="94"/>
      <c r="N51" s="94">
        <f t="shared" si="188"/>
        <v>4330</v>
      </c>
      <c r="O51" s="94">
        <f>SUM(O52:O54)</f>
        <v>16914</v>
      </c>
      <c r="P51" s="55"/>
      <c r="Q51" s="96">
        <f>SUM(Q52:Q54)</f>
        <v>0</v>
      </c>
      <c r="R51" s="96">
        <f>SUM(R52:R54)</f>
        <v>0</v>
      </c>
      <c r="S51" s="96">
        <f>SUM(S52:S54)</f>
        <v>92.012500000000003</v>
      </c>
      <c r="T51" s="55"/>
      <c r="U51" s="206"/>
      <c r="V51" s="94">
        <f>SUM(V52:V54)</f>
        <v>0</v>
      </c>
      <c r="W51" s="158"/>
      <c r="X51" s="158"/>
      <c r="Y51" s="158"/>
      <c r="Z51" s="158"/>
      <c r="AA51" s="74"/>
      <c r="AB51" s="206"/>
      <c r="AC51" s="94">
        <f>SUM(AC52:AC54)</f>
        <v>3680.5</v>
      </c>
      <c r="AD51" s="98"/>
      <c r="AE51" s="98"/>
      <c r="AF51" s="98"/>
      <c r="AG51" s="98"/>
      <c r="AH51" s="60"/>
      <c r="AI51" s="159"/>
      <c r="AJ51" s="94">
        <f>SUM(AJ52:AJ54)</f>
        <v>0</v>
      </c>
      <c r="AK51" s="98"/>
      <c r="AL51" s="226"/>
      <c r="AM51" s="98"/>
      <c r="AN51" s="159"/>
      <c r="AO51" s="160">
        <v>0</v>
      </c>
      <c r="AP51" s="98">
        <f t="shared" ref="AP51:AR54" si="189">AP$13</f>
        <v>15</v>
      </c>
      <c r="AQ51" s="98">
        <f t="shared" si="189"/>
        <v>5</v>
      </c>
      <c r="AR51" s="98">
        <f t="shared" si="189"/>
        <v>20</v>
      </c>
      <c r="AS51" s="98"/>
      <c r="AT51" s="78"/>
      <c r="AU51" s="159"/>
      <c r="AV51" s="94">
        <f>SUM(AV52:AV54)</f>
        <v>12584</v>
      </c>
      <c r="AW51" s="98"/>
      <c r="AX51" s="60"/>
      <c r="AY51" s="100">
        <f>SUM(AY52:AY54)</f>
        <v>0</v>
      </c>
      <c r="AZ51" s="100">
        <f t="shared" ref="AZ51:BK51" si="190">SUM(AZ52:AZ54)</f>
        <v>80971</v>
      </c>
      <c r="BA51" s="100">
        <f t="shared" si="190"/>
        <v>0</v>
      </c>
      <c r="BB51" s="100">
        <f t="shared" si="190"/>
        <v>0</v>
      </c>
      <c r="BC51" s="100">
        <f t="shared" si="190"/>
        <v>18402.5</v>
      </c>
      <c r="BD51" s="100">
        <f t="shared" si="190"/>
        <v>0</v>
      </c>
      <c r="BE51" s="100">
        <f t="shared" si="190"/>
        <v>0</v>
      </c>
      <c r="BF51" s="100">
        <f t="shared" si="190"/>
        <v>128817.5</v>
      </c>
      <c r="BG51" s="100">
        <f t="shared" si="190"/>
        <v>0</v>
      </c>
      <c r="BH51" s="100">
        <f t="shared" si="190"/>
        <v>50336</v>
      </c>
      <c r="BI51" s="100">
        <f t="shared" si="190"/>
        <v>0</v>
      </c>
      <c r="BJ51" s="100">
        <f t="shared" si="190"/>
        <v>55207.5</v>
      </c>
      <c r="BK51" s="100">
        <f t="shared" si="190"/>
        <v>0</v>
      </c>
      <c r="BL51" s="78"/>
      <c r="BM51" s="100">
        <f>SUM(BM52:BM54)</f>
        <v>80971</v>
      </c>
      <c r="BN51" s="100">
        <f>SUM(BN52:BN54)</f>
        <v>18402.5</v>
      </c>
      <c r="BO51" s="100">
        <f>SUM(BO52:BO54)</f>
        <v>179153.5</v>
      </c>
      <c r="BP51" s="100">
        <f>SUM(BP52:BP54)</f>
        <v>55207.5</v>
      </c>
      <c r="BR51" s="101">
        <f t="shared" ref="BR51:BS51" si="191">SUM(BR52:BR54)</f>
        <v>44.983888888888892</v>
      </c>
      <c r="BS51" s="101">
        <f t="shared" si="191"/>
        <v>4.2014840182648401</v>
      </c>
      <c r="BU51" s="98">
        <f>SUM(BU52:BU54)</f>
        <v>24.055555555555557</v>
      </c>
      <c r="BV51" s="98">
        <f>SUM(BV52:BV54)</f>
        <v>24.055555555555557</v>
      </c>
      <c r="BW51" s="100">
        <f>SUM(BW52:BW54)</f>
        <v>44599</v>
      </c>
      <c r="BX51" s="101">
        <f t="shared" ref="BX51" si="192">SUM(BX52:BX54)</f>
        <v>365.64444444444439</v>
      </c>
      <c r="BY51" s="63"/>
      <c r="BZ51" s="100">
        <f>SUM(BZ52:BZ54)</f>
        <v>0</v>
      </c>
      <c r="CA51" s="101">
        <f t="shared" ref="CA51" si="193">SUM(CA52:CA54)</f>
        <v>0</v>
      </c>
      <c r="CB51" s="63"/>
      <c r="CC51" s="100">
        <f>SUM(CC52:CC54)</f>
        <v>30670.833333333332</v>
      </c>
      <c r="CD51" s="101">
        <f t="shared" ref="CD51" si="194">SUM(CD52:CD54)</f>
        <v>16.395124302384577</v>
      </c>
      <c r="CF51" s="100">
        <f>SUM(CF52:CF54)</f>
        <v>254423.33333333334</v>
      </c>
      <c r="CH51" s="101">
        <f>SUM(CH52:CH54)</f>
        <v>42.285000000000004</v>
      </c>
      <c r="CJ51" s="101">
        <f t="shared" si="53"/>
        <v>64950</v>
      </c>
    </row>
    <row r="52" spans="2:88" x14ac:dyDescent="0.2">
      <c r="B52" s="102"/>
      <c r="C52" s="103">
        <v>1</v>
      </c>
      <c r="D52" s="104"/>
      <c r="F52" s="105">
        <v>1475.5834064969272</v>
      </c>
      <c r="G52" s="105">
        <v>866</v>
      </c>
      <c r="H52" s="106">
        <v>5</v>
      </c>
      <c r="I52" s="105">
        <v>0</v>
      </c>
      <c r="J52" s="105">
        <v>4330</v>
      </c>
      <c r="K52" s="105">
        <v>0</v>
      </c>
      <c r="L52" s="105">
        <v>0</v>
      </c>
      <c r="M52" s="105"/>
      <c r="N52" s="105">
        <v>4330</v>
      </c>
      <c r="O52" s="105">
        <v>4330</v>
      </c>
      <c r="P52" s="70"/>
      <c r="Q52" s="200">
        <f t="shared" ref="Q52:Q54" si="195">R52*2.2</f>
        <v>0</v>
      </c>
      <c r="R52" s="200">
        <f t="shared" ref="R52:R54" si="196">V52/110</f>
        <v>0</v>
      </c>
      <c r="S52" s="200">
        <f t="shared" ref="S52:S54" si="197">(AC52*0.675/27)+(AJ52*0.675/40)</f>
        <v>92.012500000000003</v>
      </c>
      <c r="T52" s="70"/>
      <c r="U52" s="203">
        <f t="shared" ref="U52:U54" si="198">$U$12</f>
        <v>0.9</v>
      </c>
      <c r="V52" s="107">
        <f t="shared" ref="V52:V54" si="199">U52*I52</f>
        <v>0</v>
      </c>
      <c r="W52" s="108">
        <f t="shared" ref="W52:W54" si="200">$W$12</f>
        <v>22</v>
      </c>
      <c r="X52" s="108">
        <f t="shared" ref="X52:Z54" si="201">X$12</f>
        <v>10</v>
      </c>
      <c r="Y52" s="108">
        <f t="shared" si="201"/>
        <v>30</v>
      </c>
      <c r="Z52" s="108">
        <f t="shared" si="201"/>
        <v>5</v>
      </c>
      <c r="AA52" s="74"/>
      <c r="AB52" s="203">
        <f t="shared" ref="AB52:AB54" si="202">$AB$12</f>
        <v>0.85</v>
      </c>
      <c r="AC52" s="107">
        <f t="shared" ref="AC52:AC54" si="203">AB52*J52</f>
        <v>3680.5</v>
      </c>
      <c r="AD52" s="108">
        <f t="shared" ref="AD52:AD54" si="204">$AD$12</f>
        <v>22</v>
      </c>
      <c r="AE52" s="108">
        <f t="shared" ref="AE52:AF54" si="205">AE$12</f>
        <v>5</v>
      </c>
      <c r="AF52" s="108">
        <f t="shared" si="205"/>
        <v>35</v>
      </c>
      <c r="AG52" s="108">
        <f t="shared" ref="AG52:AG54" si="206">$AG$12</f>
        <v>15</v>
      </c>
      <c r="AH52" s="75"/>
      <c r="AI52" s="203">
        <f t="shared" ref="AI52:AI54" si="207">$AI$12</f>
        <v>0.85</v>
      </c>
      <c r="AJ52" s="107">
        <f t="shared" ref="AJ52:AJ54" si="208">AI52*K52</f>
        <v>0</v>
      </c>
      <c r="AK52" s="108">
        <f t="shared" ref="AK52:AK54" si="209">$AK$12</f>
        <v>22</v>
      </c>
      <c r="AL52" s="219">
        <f t="shared" ref="AL52:AM54" si="210">AL$12</f>
        <v>7.5</v>
      </c>
      <c r="AM52" s="108">
        <f t="shared" si="210"/>
        <v>50</v>
      </c>
      <c r="AN52" s="109">
        <v>0</v>
      </c>
      <c r="AO52" s="107">
        <v>0</v>
      </c>
      <c r="AP52" s="108">
        <f t="shared" si="189"/>
        <v>15</v>
      </c>
      <c r="AQ52" s="108">
        <f t="shared" si="189"/>
        <v>5</v>
      </c>
      <c r="AR52" s="108">
        <f t="shared" si="189"/>
        <v>20</v>
      </c>
      <c r="AS52" s="108">
        <f t="shared" ref="AS52:AS54" si="211">AS$12</f>
        <v>15</v>
      </c>
      <c r="AT52" s="78"/>
      <c r="AU52" s="203">
        <f t="shared" ref="AU52:AU54" si="212">AU$12</f>
        <v>1</v>
      </c>
      <c r="AV52" s="107">
        <f t="shared" ref="AV52:AV54" si="213">AU52*L52</f>
        <v>0</v>
      </c>
      <c r="AW52" s="108">
        <f t="shared" ref="AW52:AW54" si="214">AW$12</f>
        <v>4</v>
      </c>
      <c r="AX52" s="75"/>
      <c r="AY52" s="110">
        <f>V52*W52</f>
        <v>0</v>
      </c>
      <c r="AZ52" s="110">
        <f>AC52*AD52</f>
        <v>80971</v>
      </c>
      <c r="BA52" s="110">
        <f>AJ52*AK52</f>
        <v>0</v>
      </c>
      <c r="BB52" s="110">
        <f>V52*X52</f>
        <v>0</v>
      </c>
      <c r="BC52" s="110">
        <f>AC52*AE52</f>
        <v>18402.5</v>
      </c>
      <c r="BD52" s="110">
        <f>AJ52*AL52</f>
        <v>0</v>
      </c>
      <c r="BE52" s="110">
        <f>V52*Y52</f>
        <v>0</v>
      </c>
      <c r="BF52" s="110">
        <f>AC52*AF52</f>
        <v>128817.5</v>
      </c>
      <c r="BG52" s="110">
        <f>+AJ52*AM52</f>
        <v>0</v>
      </c>
      <c r="BH52" s="110">
        <f>+AV52*AW52</f>
        <v>0</v>
      </c>
      <c r="BI52" s="110">
        <f t="shared" ref="BI52:BI54" si="215">Z52*V52</f>
        <v>0</v>
      </c>
      <c r="BJ52" s="110">
        <f t="shared" ref="BJ52:BJ54" si="216">+AG52*AC52</f>
        <v>55207.5</v>
      </c>
      <c r="BK52" s="110">
        <f t="shared" ref="BK52:BK54" si="217">+AS52*AJ52</f>
        <v>0</v>
      </c>
      <c r="BL52" s="78"/>
      <c r="BM52" s="111">
        <f t="shared" ref="BM52:BM54" si="218">AY52+AZ52+BA52</f>
        <v>80971</v>
      </c>
      <c r="BN52" s="111">
        <f t="shared" ref="BN52:BN54" si="219">+BB52+BC52+BD52</f>
        <v>18402.5</v>
      </c>
      <c r="BO52" s="111">
        <f t="shared" ref="BO52:BO54" si="220">+BE52+BF52+BG52+BH52</f>
        <v>128817.5</v>
      </c>
      <c r="BP52" s="111">
        <f t="shared" ref="BP52:BP54" si="221">SUM(BI52:BK52)</f>
        <v>55207.5</v>
      </c>
      <c r="BR52" s="112">
        <f>BM52/$BR$6</f>
        <v>44.983888888888892</v>
      </c>
      <c r="BS52" s="112">
        <f>(BB52+BC52+BD52)/$BS$6</f>
        <v>4.2014840182648401</v>
      </c>
      <c r="BU52" s="113">
        <f t="shared" ref="BU52:BV54" si="222">($BU$3*$R52)+(($J52+$K52)/$BU$5*$BU$7)</f>
        <v>24.055555555555557</v>
      </c>
      <c r="BV52" s="113">
        <f t="shared" si="222"/>
        <v>24.055555555555557</v>
      </c>
      <c r="BW52" s="111">
        <f t="shared" ref="BW52:BW54" si="223">BV52*$BW$3*$BW$6</f>
        <v>44599</v>
      </c>
      <c r="BX52" s="112">
        <f>(BU52*0.3*50+BU52*0.7*22)*$BX$6</f>
        <v>365.64444444444439</v>
      </c>
      <c r="BY52" s="82"/>
      <c r="BZ52" s="111"/>
      <c r="CA52" s="112"/>
      <c r="CB52" s="82"/>
      <c r="CC52" s="111">
        <f>BM52/$CC$3+(BN52*(1-$CD$3)/$CC$6)</f>
        <v>30670.833333333332</v>
      </c>
      <c r="CD52" s="112">
        <f>BR52/$CD$6+BS52/$CD$6</f>
        <v>16.395124302384577</v>
      </c>
      <c r="CF52" s="111">
        <f t="shared" ref="CF52:CF54" si="224">BE52+BF52+BG52+BH52+BW52+BZ52+CC52</f>
        <v>204087.33333333334</v>
      </c>
      <c r="CH52" s="229">
        <f>$CH$6*O52/1000</f>
        <v>10.824999999999999</v>
      </c>
      <c r="CJ52" s="229">
        <f t="shared" si="53"/>
        <v>64950</v>
      </c>
    </row>
    <row r="53" spans="2:88" s="147" customFormat="1" x14ac:dyDescent="0.2">
      <c r="B53" s="161"/>
      <c r="C53" s="162">
        <v>2</v>
      </c>
      <c r="D53" s="197" t="s">
        <v>74</v>
      </c>
      <c r="F53" s="163">
        <v>4055.2985074626868</v>
      </c>
      <c r="G53" s="163">
        <v>2380</v>
      </c>
      <c r="H53" s="164">
        <v>5</v>
      </c>
      <c r="I53" s="163">
        <v>0</v>
      </c>
      <c r="J53" s="163">
        <v>0</v>
      </c>
      <c r="K53" s="163">
        <v>0</v>
      </c>
      <c r="L53" s="163">
        <v>11900</v>
      </c>
      <c r="M53" s="163"/>
      <c r="N53" s="163">
        <v>0</v>
      </c>
      <c r="O53" s="163">
        <v>11900</v>
      </c>
      <c r="P53" s="150"/>
      <c r="Q53" s="202">
        <f t="shared" si="195"/>
        <v>0</v>
      </c>
      <c r="R53" s="202">
        <f t="shared" si="196"/>
        <v>0</v>
      </c>
      <c r="S53" s="202">
        <f t="shared" si="197"/>
        <v>0</v>
      </c>
      <c r="T53" s="150"/>
      <c r="U53" s="212">
        <f t="shared" si="198"/>
        <v>0.9</v>
      </c>
      <c r="V53" s="163">
        <f t="shared" si="199"/>
        <v>0</v>
      </c>
      <c r="W53" s="165">
        <f t="shared" si="200"/>
        <v>22</v>
      </c>
      <c r="X53" s="165">
        <f t="shared" si="201"/>
        <v>10</v>
      </c>
      <c r="Y53" s="165">
        <f t="shared" si="201"/>
        <v>30</v>
      </c>
      <c r="Z53" s="108">
        <f t="shared" si="201"/>
        <v>5</v>
      </c>
      <c r="AA53" s="74"/>
      <c r="AB53" s="212">
        <f t="shared" si="202"/>
        <v>0.85</v>
      </c>
      <c r="AC53" s="163">
        <f t="shared" si="203"/>
        <v>0</v>
      </c>
      <c r="AD53" s="165">
        <f t="shared" si="204"/>
        <v>22</v>
      </c>
      <c r="AE53" s="165">
        <f t="shared" si="205"/>
        <v>5</v>
      </c>
      <c r="AF53" s="165">
        <f t="shared" si="205"/>
        <v>35</v>
      </c>
      <c r="AG53" s="108">
        <f t="shared" si="206"/>
        <v>15</v>
      </c>
      <c r="AH53" s="74"/>
      <c r="AI53" s="212">
        <f t="shared" si="207"/>
        <v>0.85</v>
      </c>
      <c r="AJ53" s="163">
        <f t="shared" si="208"/>
        <v>0</v>
      </c>
      <c r="AK53" s="165">
        <f t="shared" si="209"/>
        <v>22</v>
      </c>
      <c r="AL53" s="221">
        <f t="shared" si="210"/>
        <v>7.5</v>
      </c>
      <c r="AM53" s="165">
        <f t="shared" si="210"/>
        <v>50</v>
      </c>
      <c r="AN53" s="166">
        <v>0</v>
      </c>
      <c r="AO53" s="163">
        <v>0</v>
      </c>
      <c r="AP53" s="165">
        <f t="shared" si="189"/>
        <v>15</v>
      </c>
      <c r="AQ53" s="165">
        <f t="shared" si="189"/>
        <v>5</v>
      </c>
      <c r="AR53" s="165">
        <f t="shared" si="189"/>
        <v>20</v>
      </c>
      <c r="AS53" s="108">
        <f t="shared" si="211"/>
        <v>15</v>
      </c>
      <c r="AT53" s="150"/>
      <c r="AU53" s="212">
        <f t="shared" si="212"/>
        <v>1</v>
      </c>
      <c r="AV53" s="163">
        <f t="shared" si="213"/>
        <v>11900</v>
      </c>
      <c r="AW53" s="165">
        <f t="shared" si="214"/>
        <v>4</v>
      </c>
      <c r="AX53" s="74"/>
      <c r="AY53" s="167">
        <f>V53*W53</f>
        <v>0</v>
      </c>
      <c r="AZ53" s="167">
        <f>AC53*AD53</f>
        <v>0</v>
      </c>
      <c r="BA53" s="167">
        <f>AJ53*AK53</f>
        <v>0</v>
      </c>
      <c r="BB53" s="167">
        <f>V53*X53</f>
        <v>0</v>
      </c>
      <c r="BC53" s="167">
        <f>AC53*AE53</f>
        <v>0</v>
      </c>
      <c r="BD53" s="167">
        <f>AJ53*AL53</f>
        <v>0</v>
      </c>
      <c r="BE53" s="167">
        <f>V53*Y53</f>
        <v>0</v>
      </c>
      <c r="BF53" s="167">
        <f>AC53*AF53</f>
        <v>0</v>
      </c>
      <c r="BG53" s="167">
        <f>+AJ53*AM53</f>
        <v>0</v>
      </c>
      <c r="BH53" s="167">
        <f>+AV53*AW53</f>
        <v>47600</v>
      </c>
      <c r="BI53" s="110">
        <f t="shared" si="215"/>
        <v>0</v>
      </c>
      <c r="BJ53" s="110">
        <f t="shared" si="216"/>
        <v>0</v>
      </c>
      <c r="BK53" s="110">
        <f t="shared" si="217"/>
        <v>0</v>
      </c>
      <c r="BL53" s="150"/>
      <c r="BM53" s="168">
        <f t="shared" si="218"/>
        <v>0</v>
      </c>
      <c r="BN53" s="168">
        <f t="shared" si="219"/>
        <v>0</v>
      </c>
      <c r="BO53" s="168">
        <f t="shared" si="220"/>
        <v>47600</v>
      </c>
      <c r="BP53" s="111">
        <f t="shared" si="221"/>
        <v>0</v>
      </c>
      <c r="BR53" s="169">
        <f>BM53/$BR$6</f>
        <v>0</v>
      </c>
      <c r="BS53" s="169">
        <f>(BB53+BC53+BD53)/$BS$6</f>
        <v>0</v>
      </c>
      <c r="BU53" s="170">
        <f t="shared" si="222"/>
        <v>0</v>
      </c>
      <c r="BV53" s="170">
        <f t="shared" si="222"/>
        <v>0</v>
      </c>
      <c r="BW53" s="168">
        <f t="shared" si="223"/>
        <v>0</v>
      </c>
      <c r="BX53" s="169">
        <f>(BU53*0.3*50+BU53*0.7*22)*$BX$6</f>
        <v>0</v>
      </c>
      <c r="BY53" s="157"/>
      <c r="BZ53" s="168"/>
      <c r="CA53" s="169"/>
      <c r="CB53" s="157"/>
      <c r="CC53" s="168">
        <f>BM53/$CC$3+(BN53*(1-$CD$3)/$CC$6)</f>
        <v>0</v>
      </c>
      <c r="CD53" s="169">
        <f>BR53/$CD$6+BS53/$CD$6</f>
        <v>0</v>
      </c>
      <c r="CF53" s="168">
        <f t="shared" si="224"/>
        <v>47600</v>
      </c>
      <c r="CH53" s="234">
        <f>$CH$6*O53/1000</f>
        <v>29.75</v>
      </c>
      <c r="CJ53" s="234">
        <f t="shared" si="53"/>
        <v>0</v>
      </c>
    </row>
    <row r="54" spans="2:88" s="147" customFormat="1" x14ac:dyDescent="0.2">
      <c r="B54" s="161"/>
      <c r="C54" s="162">
        <v>3</v>
      </c>
      <c r="D54" s="197" t="s">
        <v>74</v>
      </c>
      <c r="F54" s="163">
        <v>291.36808604038629</v>
      </c>
      <c r="G54" s="163">
        <v>171</v>
      </c>
      <c r="H54" s="164">
        <v>4</v>
      </c>
      <c r="I54" s="163">
        <v>0</v>
      </c>
      <c r="J54" s="163">
        <v>0</v>
      </c>
      <c r="K54" s="163">
        <v>0</v>
      </c>
      <c r="L54" s="163">
        <v>684</v>
      </c>
      <c r="M54" s="163"/>
      <c r="N54" s="163">
        <v>0</v>
      </c>
      <c r="O54" s="163">
        <v>684</v>
      </c>
      <c r="P54" s="150"/>
      <c r="Q54" s="202">
        <f t="shared" si="195"/>
        <v>0</v>
      </c>
      <c r="R54" s="202">
        <f t="shared" si="196"/>
        <v>0</v>
      </c>
      <c r="S54" s="202">
        <f t="shared" si="197"/>
        <v>0</v>
      </c>
      <c r="T54" s="150"/>
      <c r="U54" s="212">
        <f t="shared" si="198"/>
        <v>0.9</v>
      </c>
      <c r="V54" s="163">
        <f t="shared" si="199"/>
        <v>0</v>
      </c>
      <c r="W54" s="165">
        <f t="shared" si="200"/>
        <v>22</v>
      </c>
      <c r="X54" s="165">
        <f t="shared" si="201"/>
        <v>10</v>
      </c>
      <c r="Y54" s="165">
        <f t="shared" si="201"/>
        <v>30</v>
      </c>
      <c r="Z54" s="108">
        <f t="shared" si="201"/>
        <v>5</v>
      </c>
      <c r="AA54" s="74"/>
      <c r="AB54" s="212">
        <f t="shared" si="202"/>
        <v>0.85</v>
      </c>
      <c r="AC54" s="163">
        <f t="shared" si="203"/>
        <v>0</v>
      </c>
      <c r="AD54" s="165">
        <f t="shared" si="204"/>
        <v>22</v>
      </c>
      <c r="AE54" s="165">
        <f t="shared" si="205"/>
        <v>5</v>
      </c>
      <c r="AF54" s="165">
        <f t="shared" si="205"/>
        <v>35</v>
      </c>
      <c r="AG54" s="108">
        <f t="shared" si="206"/>
        <v>15</v>
      </c>
      <c r="AH54" s="74"/>
      <c r="AI54" s="212">
        <f t="shared" si="207"/>
        <v>0.85</v>
      </c>
      <c r="AJ54" s="163">
        <f t="shared" si="208"/>
        <v>0</v>
      </c>
      <c r="AK54" s="165">
        <f t="shared" si="209"/>
        <v>22</v>
      </c>
      <c r="AL54" s="221">
        <f t="shared" si="210"/>
        <v>7.5</v>
      </c>
      <c r="AM54" s="165">
        <f t="shared" si="210"/>
        <v>50</v>
      </c>
      <c r="AN54" s="166">
        <v>0</v>
      </c>
      <c r="AO54" s="163">
        <v>0</v>
      </c>
      <c r="AP54" s="165">
        <f t="shared" si="189"/>
        <v>15</v>
      </c>
      <c r="AQ54" s="165">
        <f t="shared" si="189"/>
        <v>5</v>
      </c>
      <c r="AR54" s="165">
        <f t="shared" si="189"/>
        <v>20</v>
      </c>
      <c r="AS54" s="108">
        <f t="shared" si="211"/>
        <v>15</v>
      </c>
      <c r="AT54" s="150"/>
      <c r="AU54" s="212">
        <f t="shared" si="212"/>
        <v>1</v>
      </c>
      <c r="AV54" s="163">
        <f t="shared" si="213"/>
        <v>684</v>
      </c>
      <c r="AW54" s="165">
        <f t="shared" si="214"/>
        <v>4</v>
      </c>
      <c r="AX54" s="74"/>
      <c r="AY54" s="167">
        <f>V54*W54</f>
        <v>0</v>
      </c>
      <c r="AZ54" s="167">
        <f>AC54*AD54</f>
        <v>0</v>
      </c>
      <c r="BA54" s="167">
        <f>AJ54*AK54</f>
        <v>0</v>
      </c>
      <c r="BB54" s="167">
        <f>V54*X54</f>
        <v>0</v>
      </c>
      <c r="BC54" s="167">
        <f>AC54*AE54</f>
        <v>0</v>
      </c>
      <c r="BD54" s="167">
        <f>AJ54*AL54</f>
        <v>0</v>
      </c>
      <c r="BE54" s="167">
        <f>V54*Y54</f>
        <v>0</v>
      </c>
      <c r="BF54" s="167">
        <f>AC54*AF54</f>
        <v>0</v>
      </c>
      <c r="BG54" s="167">
        <f>+AJ54*AM54</f>
        <v>0</v>
      </c>
      <c r="BH54" s="167">
        <f>+AV54*AW54</f>
        <v>2736</v>
      </c>
      <c r="BI54" s="110">
        <f t="shared" si="215"/>
        <v>0</v>
      </c>
      <c r="BJ54" s="110">
        <f t="shared" si="216"/>
        <v>0</v>
      </c>
      <c r="BK54" s="110">
        <f t="shared" si="217"/>
        <v>0</v>
      </c>
      <c r="BL54" s="150"/>
      <c r="BM54" s="168">
        <f t="shared" si="218"/>
        <v>0</v>
      </c>
      <c r="BN54" s="168">
        <f t="shared" si="219"/>
        <v>0</v>
      </c>
      <c r="BO54" s="168">
        <f t="shared" si="220"/>
        <v>2736</v>
      </c>
      <c r="BP54" s="111">
        <f t="shared" si="221"/>
        <v>0</v>
      </c>
      <c r="BR54" s="169">
        <f>BM54/$BR$6</f>
        <v>0</v>
      </c>
      <c r="BS54" s="169">
        <f>(BB54+BC54+BD54)/$BS$6</f>
        <v>0</v>
      </c>
      <c r="BU54" s="170">
        <f t="shared" si="222"/>
        <v>0</v>
      </c>
      <c r="BV54" s="170">
        <f t="shared" si="222"/>
        <v>0</v>
      </c>
      <c r="BW54" s="168">
        <f t="shared" si="223"/>
        <v>0</v>
      </c>
      <c r="BX54" s="169">
        <f>(BU54*0.3*50+BU54*0.7*22)*$BX$6</f>
        <v>0</v>
      </c>
      <c r="BY54" s="157"/>
      <c r="BZ54" s="168"/>
      <c r="CA54" s="169"/>
      <c r="CB54" s="157"/>
      <c r="CC54" s="168">
        <f>BM54/$CC$3+(BN54*(1-$CD$3)/$CC$6)</f>
        <v>0</v>
      </c>
      <c r="CD54" s="169">
        <f>BR54/$CD$6+BS54/$CD$6</f>
        <v>0</v>
      </c>
      <c r="CF54" s="168">
        <f t="shared" si="224"/>
        <v>2736</v>
      </c>
      <c r="CH54" s="234">
        <f>$CH$6*O54/1000</f>
        <v>1.71</v>
      </c>
      <c r="CJ54" s="234">
        <f t="shared" si="53"/>
        <v>0</v>
      </c>
    </row>
    <row r="55" spans="2:88" x14ac:dyDescent="0.2">
      <c r="B55" s="85"/>
      <c r="C55" s="86"/>
      <c r="D55" s="6"/>
      <c r="F55" s="3"/>
      <c r="G55" s="3"/>
      <c r="H55" s="40"/>
      <c r="I55" s="84"/>
      <c r="J55" s="70"/>
      <c r="K55" s="70"/>
      <c r="L55" s="70"/>
      <c r="M55" s="70"/>
      <c r="N55" s="84"/>
      <c r="O55" s="84"/>
      <c r="P55" s="84"/>
      <c r="Q55" s="87"/>
      <c r="R55" s="88"/>
      <c r="S55" s="88"/>
      <c r="T55" s="84"/>
      <c r="U55" s="205"/>
      <c r="V55" s="84"/>
      <c r="W55" s="75"/>
      <c r="X55" s="75"/>
      <c r="Y55" s="75"/>
      <c r="Z55" s="75"/>
      <c r="AA55" s="74"/>
      <c r="AB55" s="205"/>
      <c r="AC55" s="84"/>
      <c r="AD55" s="84"/>
      <c r="AE55" s="84"/>
      <c r="AF55" s="84"/>
      <c r="AG55" s="84"/>
      <c r="AH55" s="84"/>
      <c r="AI55" s="89"/>
      <c r="AJ55" s="84"/>
      <c r="AK55" s="84"/>
      <c r="AL55" s="222"/>
      <c r="AM55" s="84"/>
      <c r="AN55" s="89"/>
      <c r="AO55" s="84"/>
      <c r="AP55" s="84"/>
      <c r="AQ55" s="84"/>
      <c r="AR55" s="84"/>
      <c r="AS55" s="84"/>
      <c r="AT55" s="84"/>
      <c r="AU55" s="89"/>
      <c r="AV55" s="84"/>
      <c r="AW55" s="84"/>
      <c r="AX55" s="84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84"/>
      <c r="BM55" s="91"/>
      <c r="BN55" s="91"/>
      <c r="BO55" s="91"/>
      <c r="BP55" s="91"/>
      <c r="BR55" s="82"/>
      <c r="BS55" s="82"/>
      <c r="BU55" s="92"/>
      <c r="BV55" s="92"/>
      <c r="BW55" s="91"/>
      <c r="BX55" s="82"/>
      <c r="BY55" s="82"/>
      <c r="BZ55" s="91"/>
      <c r="CA55" s="82"/>
      <c r="CB55" s="82"/>
      <c r="CC55" s="91"/>
      <c r="CD55" s="82"/>
      <c r="CF55" s="91"/>
      <c r="CH55" s="228"/>
      <c r="CJ55" s="228">
        <f t="shared" si="53"/>
        <v>0</v>
      </c>
    </row>
    <row r="56" spans="2:88" x14ac:dyDescent="0.2">
      <c r="B56" s="322" t="s">
        <v>78</v>
      </c>
      <c r="C56" s="322"/>
      <c r="D56" s="322"/>
      <c r="F56" s="53">
        <f>SUM(F57:F72)</f>
        <v>21469</v>
      </c>
      <c r="G56" s="53">
        <f>SUM(G57:G72)</f>
        <v>10453.9</v>
      </c>
      <c r="H56" s="53"/>
      <c r="I56" s="53">
        <f>SUM(I57:I72)</f>
        <v>0</v>
      </c>
      <c r="J56" s="53">
        <f t="shared" ref="J56:K56" si="225">SUM(J57:J72)</f>
        <v>33707.5</v>
      </c>
      <c r="K56" s="53">
        <f t="shared" si="225"/>
        <v>4288.3999999999996</v>
      </c>
      <c r="L56" s="53">
        <f>SUM(L57:L72)</f>
        <v>0</v>
      </c>
      <c r="M56" s="53"/>
      <c r="N56" s="53">
        <f>SUM(N57:N72)</f>
        <v>37995.9</v>
      </c>
      <c r="O56" s="53">
        <f>SUM(O57:O72)</f>
        <v>37995.9</v>
      </c>
      <c r="P56" s="55"/>
      <c r="Q56" s="56">
        <f>SUM(Q57:Q72)</f>
        <v>0</v>
      </c>
      <c r="R56" s="56">
        <f>SUM(R57:R72)</f>
        <v>0</v>
      </c>
      <c r="S56" s="56">
        <f>SUM(S57:S72)</f>
        <v>777.79611249999994</v>
      </c>
      <c r="T56" s="55"/>
      <c r="U56" s="207"/>
      <c r="V56" s="53">
        <f>SUM(V57:V72)</f>
        <v>0</v>
      </c>
      <c r="W56" s="58"/>
      <c r="X56" s="58"/>
      <c r="Y56" s="58"/>
      <c r="Z56" s="58"/>
      <c r="AA56" s="59"/>
      <c r="AB56" s="207"/>
      <c r="AC56" s="53">
        <f>SUM(AC57:AC72)</f>
        <v>28651.375</v>
      </c>
      <c r="AD56" s="58"/>
      <c r="AE56" s="58"/>
      <c r="AF56" s="58"/>
      <c r="AG56" s="58"/>
      <c r="AH56" s="60"/>
      <c r="AI56" s="57"/>
      <c r="AJ56" s="53">
        <f>SUM(AJ57:AJ72)</f>
        <v>3645.1400000000003</v>
      </c>
      <c r="AK56" s="58"/>
      <c r="AL56" s="185"/>
      <c r="AM56" s="58"/>
      <c r="AN56" s="57"/>
      <c r="AO56" s="53">
        <v>0</v>
      </c>
      <c r="AP56" s="58">
        <f t="shared" ref="AP56:AR71" si="226">AP$13</f>
        <v>15</v>
      </c>
      <c r="AQ56" s="58">
        <f t="shared" si="226"/>
        <v>5</v>
      </c>
      <c r="AR56" s="58">
        <f t="shared" si="226"/>
        <v>20</v>
      </c>
      <c r="AS56" s="58"/>
      <c r="AT56" s="55"/>
      <c r="AU56" s="57"/>
      <c r="AV56" s="53">
        <f>SUM(AV57:AV72)</f>
        <v>0</v>
      </c>
      <c r="AW56" s="58"/>
      <c r="AX56" s="60"/>
      <c r="AY56" s="61">
        <f>SUM(AY57:AY72)</f>
        <v>0</v>
      </c>
      <c r="AZ56" s="61">
        <f t="shared" ref="AZ56:BK56" si="227">SUM(AZ57:AZ72)</f>
        <v>1341636.9400000002</v>
      </c>
      <c r="BA56" s="61">
        <f t="shared" si="227"/>
        <v>246957.30000000002</v>
      </c>
      <c r="BB56" s="61">
        <f t="shared" si="227"/>
        <v>0</v>
      </c>
      <c r="BC56" s="61">
        <f t="shared" si="227"/>
        <v>143256.875</v>
      </c>
      <c r="BD56" s="61">
        <f t="shared" si="227"/>
        <v>27338.55</v>
      </c>
      <c r="BE56" s="61">
        <f t="shared" si="227"/>
        <v>0</v>
      </c>
      <c r="BF56" s="61">
        <f t="shared" si="227"/>
        <v>1002798.1249999999</v>
      </c>
      <c r="BG56" s="61">
        <f t="shared" si="227"/>
        <v>182257</v>
      </c>
      <c r="BH56" s="61">
        <f t="shared" si="227"/>
        <v>0</v>
      </c>
      <c r="BI56" s="61">
        <f t="shared" si="227"/>
        <v>0</v>
      </c>
      <c r="BJ56" s="61">
        <f t="shared" si="227"/>
        <v>429770.62500000006</v>
      </c>
      <c r="BK56" s="61">
        <f t="shared" si="227"/>
        <v>54677.1</v>
      </c>
      <c r="BL56" s="55"/>
      <c r="BM56" s="61">
        <f>SUM(BM57:BM72)</f>
        <v>1588594.2400000002</v>
      </c>
      <c r="BN56" s="61">
        <f t="shared" ref="BN56:BP56" si="228">SUM(BN57:BN72)</f>
        <v>170595.42500000002</v>
      </c>
      <c r="BO56" s="61">
        <f t="shared" si="228"/>
        <v>1185055.125</v>
      </c>
      <c r="BP56" s="61">
        <f t="shared" si="228"/>
        <v>484447.72500000003</v>
      </c>
      <c r="BR56" s="62">
        <f t="shared" ref="BR56:BS56" si="229">SUM(BR57:BR72)</f>
        <v>882.55235555555566</v>
      </c>
      <c r="BS56" s="62">
        <f t="shared" si="229"/>
        <v>38.948727168949759</v>
      </c>
      <c r="BU56" s="58">
        <f t="shared" ref="BU56:BX56" si="230">SUM(BU57:BU72)</f>
        <v>211.08833333333328</v>
      </c>
      <c r="BV56" s="58">
        <f t="shared" si="230"/>
        <v>211.08833333333328</v>
      </c>
      <c r="BW56" s="61">
        <f t="shared" si="230"/>
        <v>391357.77</v>
      </c>
      <c r="BX56" s="62">
        <f t="shared" si="230"/>
        <v>3208.5426666666663</v>
      </c>
      <c r="BY56" s="63"/>
      <c r="BZ56" s="61">
        <f t="shared" ref="BZ56:CA56" si="231">SUM(BZ57:BZ72)</f>
        <v>0</v>
      </c>
      <c r="CA56" s="62">
        <f t="shared" si="231"/>
        <v>0</v>
      </c>
      <c r="CB56" s="63"/>
      <c r="CC56" s="61">
        <f t="shared" ref="CC56:CD56" si="232">SUM(CC57:CC72)</f>
        <v>563650.49833333341</v>
      </c>
      <c r="CD56" s="62">
        <f t="shared" si="232"/>
        <v>307.16702757483512</v>
      </c>
      <c r="CF56" s="61">
        <f t="shared" ref="CF56" si="233">SUM(CF57:CF72)</f>
        <v>2140063.3933333335</v>
      </c>
      <c r="CH56" s="62">
        <f>SUM(CH57:CH72)</f>
        <v>94.989750000000001</v>
      </c>
      <c r="CJ56" s="62">
        <f t="shared" si="53"/>
        <v>569938.5</v>
      </c>
    </row>
    <row r="57" spans="2:88" x14ac:dyDescent="0.2">
      <c r="B57" s="64"/>
      <c r="C57" s="65">
        <v>1</v>
      </c>
      <c r="D57" s="66"/>
      <c r="F57" s="67">
        <v>1332.8404710203847</v>
      </c>
      <c r="G57" s="67">
        <v>649</v>
      </c>
      <c r="H57" s="69">
        <v>4</v>
      </c>
      <c r="I57" s="68">
        <v>0</v>
      </c>
      <c r="J57" s="67">
        <v>2596</v>
      </c>
      <c r="K57" s="68">
        <v>0</v>
      </c>
      <c r="L57" s="68">
        <v>0</v>
      </c>
      <c r="M57" s="68"/>
      <c r="N57" s="67">
        <v>2596</v>
      </c>
      <c r="O57" s="67">
        <v>2596</v>
      </c>
      <c r="P57" s="70"/>
      <c r="Q57" s="71">
        <f t="shared" ref="Q57:Q72" si="234">R57*2.2</f>
        <v>0</v>
      </c>
      <c r="R57" s="71">
        <f t="shared" ref="R57:R72" si="235">V57/110</f>
        <v>0</v>
      </c>
      <c r="S57" s="71">
        <f t="shared" ref="S57:S72" si="236">(AC57*0.675/27)+(AJ57*0.675/40)</f>
        <v>55.164999999999999</v>
      </c>
      <c r="T57" s="70"/>
      <c r="U57" s="204">
        <f t="shared" ref="U57:U72" si="237">$U$12</f>
        <v>0.9</v>
      </c>
      <c r="V57" s="68">
        <f t="shared" ref="V57:V72" si="238">U57*I57</f>
        <v>0</v>
      </c>
      <c r="W57" s="73">
        <f t="shared" ref="W57:W64" si="239">$W$12</f>
        <v>22</v>
      </c>
      <c r="X57" s="73">
        <f t="shared" ref="X57:Z72" si="240">X$12</f>
        <v>10</v>
      </c>
      <c r="Y57" s="73">
        <f t="shared" si="240"/>
        <v>30</v>
      </c>
      <c r="Z57" s="108">
        <f t="shared" si="240"/>
        <v>5</v>
      </c>
      <c r="AA57" s="74"/>
      <c r="AB57" s="204">
        <f t="shared" ref="AB57:AB72" si="241">$AB$12</f>
        <v>0.85</v>
      </c>
      <c r="AC57" s="68">
        <f t="shared" ref="AC57:AC72" si="242">AB57*J57</f>
        <v>2206.6</v>
      </c>
      <c r="AD57" s="73">
        <f t="shared" ref="AD57:AD64" si="243">$AD$12</f>
        <v>22</v>
      </c>
      <c r="AE57" s="73">
        <f t="shared" ref="AE57:AF72" si="244">AE$12</f>
        <v>5</v>
      </c>
      <c r="AF57" s="73">
        <f t="shared" si="244"/>
        <v>35</v>
      </c>
      <c r="AG57" s="108">
        <f t="shared" ref="AG57:AG72" si="245">$AG$12</f>
        <v>15</v>
      </c>
      <c r="AH57" s="75"/>
      <c r="AI57" s="204">
        <f t="shared" ref="AI57:AI72" si="246">$AI$12</f>
        <v>0.85</v>
      </c>
      <c r="AJ57" s="68">
        <f t="shared" ref="AJ57:AJ72" si="247">AI57*K57</f>
        <v>0</v>
      </c>
      <c r="AK57" s="73">
        <f t="shared" ref="AK57:AK64" si="248">$AK$12</f>
        <v>22</v>
      </c>
      <c r="AL57" s="225">
        <f t="shared" ref="AL57:AM72" si="249">AL$12</f>
        <v>7.5</v>
      </c>
      <c r="AM57" s="73">
        <f t="shared" si="249"/>
        <v>50</v>
      </c>
      <c r="AN57" s="76">
        <v>0</v>
      </c>
      <c r="AO57" s="68">
        <v>0</v>
      </c>
      <c r="AP57" s="73">
        <f t="shared" si="226"/>
        <v>15</v>
      </c>
      <c r="AQ57" s="73">
        <f t="shared" si="226"/>
        <v>5</v>
      </c>
      <c r="AR57" s="73">
        <f t="shared" si="226"/>
        <v>20</v>
      </c>
      <c r="AS57" s="108">
        <f t="shared" ref="AS57:AS72" si="250">AS$12</f>
        <v>15</v>
      </c>
      <c r="AT57" s="78"/>
      <c r="AU57" s="204">
        <f t="shared" ref="AU57:AU72" si="251">$AU$12</f>
        <v>1</v>
      </c>
      <c r="AV57" s="68">
        <f t="shared" ref="AV57:AV72" si="252">AU57*L57</f>
        <v>0</v>
      </c>
      <c r="AW57" s="73">
        <f t="shared" ref="AW57:AW72" si="253">AW$12</f>
        <v>4</v>
      </c>
      <c r="AX57" s="75"/>
      <c r="AY57" s="77">
        <f t="shared" ref="AY57:AY72" si="254">V57*W57</f>
        <v>0</v>
      </c>
      <c r="AZ57" s="77">
        <f t="shared" ref="AZ57:AZ72" si="255">AC57*AD57</f>
        <v>48545.2</v>
      </c>
      <c r="BA57" s="77">
        <f t="shared" ref="BA57:BA72" si="256">AJ57*AK57</f>
        <v>0</v>
      </c>
      <c r="BB57" s="77">
        <f t="shared" ref="BB57:BB72" si="257">V57*X57</f>
        <v>0</v>
      </c>
      <c r="BC57" s="77">
        <f t="shared" ref="BC57:BC72" si="258">AC57*AE57</f>
        <v>11033</v>
      </c>
      <c r="BD57" s="77">
        <f t="shared" ref="BD57:BD72" si="259">AJ57*AL57</f>
        <v>0</v>
      </c>
      <c r="BE57" s="77">
        <f t="shared" ref="BE57:BE72" si="260">V57*Y57</f>
        <v>0</v>
      </c>
      <c r="BF57" s="77">
        <f t="shared" ref="BF57:BF72" si="261">AC57*AF57</f>
        <v>77231</v>
      </c>
      <c r="BG57" s="77">
        <f t="shared" ref="BG57:BG72" si="262">+AJ57*AM57</f>
        <v>0</v>
      </c>
      <c r="BH57" s="77">
        <f t="shared" ref="BH57:BH72" si="263">+AV57*AW57</f>
        <v>0</v>
      </c>
      <c r="BI57" s="110">
        <f t="shared" ref="BI57:BI72" si="264">Z57*V57</f>
        <v>0</v>
      </c>
      <c r="BJ57" s="110">
        <f t="shared" ref="BJ57:BJ72" si="265">+AG57*AC57</f>
        <v>33099</v>
      </c>
      <c r="BK57" s="110">
        <f t="shared" ref="BK57:BK72" si="266">+AS57*AJ57</f>
        <v>0</v>
      </c>
      <c r="BL57" s="78"/>
      <c r="BM57" s="79">
        <f t="shared" ref="BM57:BM72" si="267">AY57+AZ57+BA57</f>
        <v>48545.2</v>
      </c>
      <c r="BN57" s="79">
        <f t="shared" ref="BN57:BN72" si="268">+BB57+BC57+BD57</f>
        <v>11033</v>
      </c>
      <c r="BO57" s="79">
        <f t="shared" ref="BO57:BO72" si="269">+BE57+BF57+BG57+BH57</f>
        <v>77231</v>
      </c>
      <c r="BP57" s="111">
        <f t="shared" ref="BP57:BP72" si="270">SUM(BI57:BK57)</f>
        <v>33099</v>
      </c>
      <c r="BR57" s="80">
        <f t="shared" ref="BR57:BR72" si="271">BM57/$BR$6</f>
        <v>26.969555555555555</v>
      </c>
      <c r="BS57" s="80">
        <f t="shared" ref="BS57:BS72" si="272">(BB57+BC57+BD57)/$BS$6</f>
        <v>2.5189497716894977</v>
      </c>
      <c r="BU57" s="81">
        <f t="shared" ref="BU57:BV72" si="273">($BU$3*$R57)+(($J57+$K57)/$BU$5*$BU$7)</f>
        <v>14.422222222222222</v>
      </c>
      <c r="BV57" s="81">
        <f t="shared" si="273"/>
        <v>14.422222222222222</v>
      </c>
      <c r="BW57" s="79">
        <f t="shared" ref="BW57:BW72" si="274">BV57*$BW$3*$BW$6</f>
        <v>26738.800000000003</v>
      </c>
      <c r="BX57" s="80">
        <f t="shared" ref="BX57:BX72" si="275">(BU57*0.3*50+BU57*0.7*22)*$BX$6</f>
        <v>219.21777777777777</v>
      </c>
      <c r="BY57" s="82"/>
      <c r="BZ57" s="79"/>
      <c r="CA57" s="80"/>
      <c r="CB57" s="82"/>
      <c r="CC57" s="79">
        <f t="shared" ref="CC57:CC72" si="276">BM57/$CC$3+(BN57*(1-$CD$3)/$CC$6)</f>
        <v>18388.333333333332</v>
      </c>
      <c r="CD57" s="80">
        <f t="shared" ref="CD57:CD72" si="277">BR57/$CD$6+BS57/$CD$6</f>
        <v>9.8295017757483496</v>
      </c>
      <c r="CF57" s="79">
        <f t="shared" ref="CF57:CF72" si="278">BE57+BF57+BG57+BH57+BW57+BZ57+CC57</f>
        <v>122358.13333333333</v>
      </c>
      <c r="CH57" s="233">
        <f t="shared" ref="CH57:CH72" si="279">$CH$6*O57/1000</f>
        <v>6.49</v>
      </c>
      <c r="CJ57" s="233">
        <f t="shared" si="53"/>
        <v>38940</v>
      </c>
    </row>
    <row r="58" spans="2:88" x14ac:dyDescent="0.2">
      <c r="B58" s="64"/>
      <c r="C58" s="65">
        <v>2</v>
      </c>
      <c r="D58" s="66"/>
      <c r="F58" s="67">
        <v>3655.5562995628425</v>
      </c>
      <c r="G58" s="67">
        <v>1780</v>
      </c>
      <c r="H58" s="69">
        <v>5</v>
      </c>
      <c r="I58" s="68">
        <v>0</v>
      </c>
      <c r="J58" s="67">
        <v>8900</v>
      </c>
      <c r="K58" s="68">
        <v>0</v>
      </c>
      <c r="L58" s="68">
        <v>0</v>
      </c>
      <c r="M58" s="68"/>
      <c r="N58" s="67">
        <v>8900</v>
      </c>
      <c r="O58" s="67">
        <v>8900</v>
      </c>
      <c r="P58" s="70"/>
      <c r="Q58" s="71">
        <f t="shared" si="234"/>
        <v>0</v>
      </c>
      <c r="R58" s="71">
        <f t="shared" si="235"/>
        <v>0</v>
      </c>
      <c r="S58" s="71">
        <f t="shared" si="236"/>
        <v>189.125</v>
      </c>
      <c r="T58" s="70"/>
      <c r="U58" s="204">
        <f t="shared" si="237"/>
        <v>0.9</v>
      </c>
      <c r="V58" s="68">
        <f t="shared" si="238"/>
        <v>0</v>
      </c>
      <c r="W58" s="73">
        <f t="shared" si="239"/>
        <v>22</v>
      </c>
      <c r="X58" s="73">
        <f t="shared" si="240"/>
        <v>10</v>
      </c>
      <c r="Y58" s="73">
        <f t="shared" si="240"/>
        <v>30</v>
      </c>
      <c r="Z58" s="108">
        <f t="shared" si="240"/>
        <v>5</v>
      </c>
      <c r="AA58" s="74"/>
      <c r="AB58" s="204">
        <f t="shared" si="241"/>
        <v>0.85</v>
      </c>
      <c r="AC58" s="68">
        <f t="shared" si="242"/>
        <v>7565</v>
      </c>
      <c r="AD58" s="73">
        <f t="shared" si="243"/>
        <v>22</v>
      </c>
      <c r="AE58" s="73">
        <f t="shared" si="244"/>
        <v>5</v>
      </c>
      <c r="AF58" s="73">
        <f t="shared" si="244"/>
        <v>35</v>
      </c>
      <c r="AG58" s="108">
        <f t="shared" si="245"/>
        <v>15</v>
      </c>
      <c r="AH58" s="75"/>
      <c r="AI58" s="204">
        <f t="shared" si="246"/>
        <v>0.85</v>
      </c>
      <c r="AJ58" s="68">
        <f t="shared" si="247"/>
        <v>0</v>
      </c>
      <c r="AK58" s="73">
        <f t="shared" si="248"/>
        <v>22</v>
      </c>
      <c r="AL58" s="225">
        <f t="shared" si="249"/>
        <v>7.5</v>
      </c>
      <c r="AM58" s="73">
        <f t="shared" si="249"/>
        <v>50</v>
      </c>
      <c r="AN58" s="83">
        <v>0</v>
      </c>
      <c r="AO58" s="68">
        <v>0</v>
      </c>
      <c r="AP58" s="73">
        <f t="shared" si="226"/>
        <v>15</v>
      </c>
      <c r="AQ58" s="73">
        <f t="shared" si="226"/>
        <v>5</v>
      </c>
      <c r="AR58" s="73">
        <f t="shared" si="226"/>
        <v>20</v>
      </c>
      <c r="AS58" s="108">
        <f t="shared" si="250"/>
        <v>15</v>
      </c>
      <c r="AT58" s="84"/>
      <c r="AU58" s="204">
        <f t="shared" si="251"/>
        <v>1</v>
      </c>
      <c r="AV58" s="68">
        <f t="shared" si="252"/>
        <v>0</v>
      </c>
      <c r="AW58" s="73">
        <f t="shared" si="253"/>
        <v>4</v>
      </c>
      <c r="AX58" s="75"/>
      <c r="AY58" s="77">
        <f t="shared" si="254"/>
        <v>0</v>
      </c>
      <c r="AZ58" s="77">
        <f t="shared" si="255"/>
        <v>166430</v>
      </c>
      <c r="BA58" s="77">
        <f t="shared" si="256"/>
        <v>0</v>
      </c>
      <c r="BB58" s="77">
        <f t="shared" si="257"/>
        <v>0</v>
      </c>
      <c r="BC58" s="77">
        <f t="shared" si="258"/>
        <v>37825</v>
      </c>
      <c r="BD58" s="77">
        <f t="shared" si="259"/>
        <v>0</v>
      </c>
      <c r="BE58" s="77">
        <f t="shared" si="260"/>
        <v>0</v>
      </c>
      <c r="BF58" s="77">
        <f t="shared" si="261"/>
        <v>264775</v>
      </c>
      <c r="BG58" s="77">
        <f t="shared" si="262"/>
        <v>0</v>
      </c>
      <c r="BH58" s="77">
        <f t="shared" si="263"/>
        <v>0</v>
      </c>
      <c r="BI58" s="110">
        <f t="shared" si="264"/>
        <v>0</v>
      </c>
      <c r="BJ58" s="110">
        <f t="shared" si="265"/>
        <v>113475</v>
      </c>
      <c r="BK58" s="110">
        <f t="shared" si="266"/>
        <v>0</v>
      </c>
      <c r="BL58" s="84"/>
      <c r="BM58" s="79">
        <f t="shared" si="267"/>
        <v>166430</v>
      </c>
      <c r="BN58" s="79">
        <f t="shared" si="268"/>
        <v>37825</v>
      </c>
      <c r="BO58" s="79">
        <f t="shared" si="269"/>
        <v>264775</v>
      </c>
      <c r="BP58" s="111">
        <f t="shared" si="270"/>
        <v>113475</v>
      </c>
      <c r="BR58" s="80">
        <f t="shared" si="271"/>
        <v>92.461111111111109</v>
      </c>
      <c r="BS58" s="80">
        <f t="shared" si="272"/>
        <v>8.6358447488584478</v>
      </c>
      <c r="BU58" s="81">
        <f t="shared" si="273"/>
        <v>49.444444444444443</v>
      </c>
      <c r="BV58" s="81">
        <f t="shared" si="273"/>
        <v>49.444444444444443</v>
      </c>
      <c r="BW58" s="79">
        <f t="shared" si="274"/>
        <v>91669.999999999985</v>
      </c>
      <c r="BX58" s="80">
        <f t="shared" si="275"/>
        <v>751.55555555555543</v>
      </c>
      <c r="BY58" s="82"/>
      <c r="BZ58" s="79"/>
      <c r="CA58" s="80"/>
      <c r="CB58" s="82"/>
      <c r="CC58" s="79">
        <f t="shared" si="276"/>
        <v>63041.666666666664</v>
      </c>
      <c r="CD58" s="80">
        <f t="shared" si="277"/>
        <v>33.698985286656516</v>
      </c>
      <c r="CF58" s="79">
        <f t="shared" si="278"/>
        <v>419486.66666666669</v>
      </c>
      <c r="CH58" s="233">
        <f t="shared" si="279"/>
        <v>22.25</v>
      </c>
      <c r="CJ58" s="233">
        <f t="shared" si="53"/>
        <v>133500</v>
      </c>
    </row>
    <row r="59" spans="2:88" x14ac:dyDescent="0.2">
      <c r="B59" s="64"/>
      <c r="C59" s="65">
        <v>3</v>
      </c>
      <c r="D59" s="66"/>
      <c r="F59" s="67">
        <v>1246.5857718172165</v>
      </c>
      <c r="G59" s="67">
        <v>607</v>
      </c>
      <c r="H59" s="69">
        <v>2</v>
      </c>
      <c r="I59" s="68">
        <v>0</v>
      </c>
      <c r="J59" s="67">
        <v>1214</v>
      </c>
      <c r="K59" s="68">
        <v>0</v>
      </c>
      <c r="L59" s="68">
        <v>0</v>
      </c>
      <c r="M59" s="68"/>
      <c r="N59" s="67">
        <v>1214</v>
      </c>
      <c r="O59" s="67">
        <v>1214</v>
      </c>
      <c r="P59" s="70"/>
      <c r="Q59" s="71">
        <f t="shared" si="234"/>
        <v>0</v>
      </c>
      <c r="R59" s="71">
        <f t="shared" si="235"/>
        <v>0</v>
      </c>
      <c r="S59" s="71">
        <f t="shared" si="236"/>
        <v>25.797499999999996</v>
      </c>
      <c r="T59" s="70"/>
      <c r="U59" s="204">
        <f t="shared" si="237"/>
        <v>0.9</v>
      </c>
      <c r="V59" s="68">
        <f t="shared" si="238"/>
        <v>0</v>
      </c>
      <c r="W59" s="73">
        <f t="shared" si="239"/>
        <v>22</v>
      </c>
      <c r="X59" s="73">
        <f t="shared" si="240"/>
        <v>10</v>
      </c>
      <c r="Y59" s="73">
        <f t="shared" si="240"/>
        <v>30</v>
      </c>
      <c r="Z59" s="108">
        <f t="shared" si="240"/>
        <v>5</v>
      </c>
      <c r="AA59" s="74"/>
      <c r="AB59" s="204">
        <f t="shared" si="241"/>
        <v>0.85</v>
      </c>
      <c r="AC59" s="68">
        <f t="shared" si="242"/>
        <v>1031.8999999999999</v>
      </c>
      <c r="AD59" s="73">
        <f t="shared" si="243"/>
        <v>22</v>
      </c>
      <c r="AE59" s="73">
        <f t="shared" si="244"/>
        <v>5</v>
      </c>
      <c r="AF59" s="73">
        <f t="shared" si="244"/>
        <v>35</v>
      </c>
      <c r="AG59" s="108">
        <f t="shared" si="245"/>
        <v>15</v>
      </c>
      <c r="AH59" s="75"/>
      <c r="AI59" s="204">
        <f t="shared" si="246"/>
        <v>0.85</v>
      </c>
      <c r="AJ59" s="68">
        <f t="shared" si="247"/>
        <v>0</v>
      </c>
      <c r="AK59" s="73">
        <f t="shared" si="248"/>
        <v>22</v>
      </c>
      <c r="AL59" s="225">
        <f t="shared" si="249"/>
        <v>7.5</v>
      </c>
      <c r="AM59" s="73">
        <f t="shared" si="249"/>
        <v>50</v>
      </c>
      <c r="AN59" s="76">
        <v>0</v>
      </c>
      <c r="AO59" s="68">
        <v>0</v>
      </c>
      <c r="AP59" s="73">
        <f t="shared" si="226"/>
        <v>15</v>
      </c>
      <c r="AQ59" s="73">
        <f t="shared" si="226"/>
        <v>5</v>
      </c>
      <c r="AR59" s="73">
        <f t="shared" si="226"/>
        <v>20</v>
      </c>
      <c r="AS59" s="108">
        <f t="shared" si="250"/>
        <v>15</v>
      </c>
      <c r="AT59" s="84"/>
      <c r="AU59" s="204">
        <f t="shared" si="251"/>
        <v>1</v>
      </c>
      <c r="AV59" s="68">
        <f t="shared" si="252"/>
        <v>0</v>
      </c>
      <c r="AW59" s="73">
        <f t="shared" si="253"/>
        <v>4</v>
      </c>
      <c r="AX59" s="75"/>
      <c r="AY59" s="77">
        <f t="shared" si="254"/>
        <v>0</v>
      </c>
      <c r="AZ59" s="77">
        <f t="shared" si="255"/>
        <v>22701.799999999996</v>
      </c>
      <c r="BA59" s="77">
        <f t="shared" si="256"/>
        <v>0</v>
      </c>
      <c r="BB59" s="77">
        <f t="shared" si="257"/>
        <v>0</v>
      </c>
      <c r="BC59" s="77">
        <f t="shared" si="258"/>
        <v>5159.4999999999991</v>
      </c>
      <c r="BD59" s="77">
        <f t="shared" si="259"/>
        <v>0</v>
      </c>
      <c r="BE59" s="77">
        <f t="shared" si="260"/>
        <v>0</v>
      </c>
      <c r="BF59" s="77">
        <f t="shared" si="261"/>
        <v>36116.499999999993</v>
      </c>
      <c r="BG59" s="77">
        <f t="shared" si="262"/>
        <v>0</v>
      </c>
      <c r="BH59" s="77">
        <f t="shared" si="263"/>
        <v>0</v>
      </c>
      <c r="BI59" s="110">
        <f t="shared" si="264"/>
        <v>0</v>
      </c>
      <c r="BJ59" s="110">
        <f t="shared" si="265"/>
        <v>15478.499999999998</v>
      </c>
      <c r="BK59" s="110">
        <f t="shared" si="266"/>
        <v>0</v>
      </c>
      <c r="BL59" s="84"/>
      <c r="BM59" s="79">
        <f t="shared" si="267"/>
        <v>22701.799999999996</v>
      </c>
      <c r="BN59" s="79">
        <f t="shared" si="268"/>
        <v>5159.4999999999991</v>
      </c>
      <c r="BO59" s="79">
        <f t="shared" si="269"/>
        <v>36116.499999999993</v>
      </c>
      <c r="BP59" s="111">
        <f t="shared" si="270"/>
        <v>15478.499999999998</v>
      </c>
      <c r="BR59" s="80">
        <f t="shared" si="271"/>
        <v>12.612111111111108</v>
      </c>
      <c r="BS59" s="80">
        <f t="shared" si="272"/>
        <v>1.1779680365296801</v>
      </c>
      <c r="BU59" s="81">
        <f t="shared" si="273"/>
        <v>6.7444444444444445</v>
      </c>
      <c r="BV59" s="81">
        <f t="shared" si="273"/>
        <v>6.7444444444444445</v>
      </c>
      <c r="BW59" s="79">
        <f t="shared" si="274"/>
        <v>12504.2</v>
      </c>
      <c r="BX59" s="80">
        <f t="shared" si="275"/>
        <v>102.51555555555555</v>
      </c>
      <c r="BY59" s="82"/>
      <c r="BZ59" s="79"/>
      <c r="CA59" s="80"/>
      <c r="CB59" s="82"/>
      <c r="CC59" s="79">
        <f t="shared" si="276"/>
        <v>8599.1666666666661</v>
      </c>
      <c r="CD59" s="80">
        <f t="shared" si="277"/>
        <v>4.596693049213596</v>
      </c>
      <c r="CF59" s="79">
        <f t="shared" si="278"/>
        <v>57219.866666666661</v>
      </c>
      <c r="CH59" s="233">
        <f t="shared" si="279"/>
        <v>3.0350000000000001</v>
      </c>
      <c r="CJ59" s="233">
        <f t="shared" si="53"/>
        <v>18210</v>
      </c>
    </row>
    <row r="60" spans="2:88" x14ac:dyDescent="0.2">
      <c r="B60" s="64"/>
      <c r="C60" s="65">
        <v>4</v>
      </c>
      <c r="D60" s="66"/>
      <c r="F60" s="67">
        <v>983.71430757898963</v>
      </c>
      <c r="G60" s="67">
        <v>479</v>
      </c>
      <c r="H60" s="69">
        <v>4</v>
      </c>
      <c r="I60" s="68">
        <v>0</v>
      </c>
      <c r="J60" s="67">
        <v>1916</v>
      </c>
      <c r="K60" s="68">
        <v>0</v>
      </c>
      <c r="L60" s="68">
        <v>0</v>
      </c>
      <c r="M60" s="68"/>
      <c r="N60" s="67">
        <v>1916</v>
      </c>
      <c r="O60" s="67">
        <v>1916</v>
      </c>
      <c r="P60" s="70"/>
      <c r="Q60" s="71">
        <f t="shared" si="234"/>
        <v>0</v>
      </c>
      <c r="R60" s="71">
        <f t="shared" si="235"/>
        <v>0</v>
      </c>
      <c r="S60" s="71">
        <f t="shared" si="236"/>
        <v>40.715000000000003</v>
      </c>
      <c r="T60" s="70"/>
      <c r="U60" s="204">
        <f t="shared" si="237"/>
        <v>0.9</v>
      </c>
      <c r="V60" s="68">
        <f t="shared" si="238"/>
        <v>0</v>
      </c>
      <c r="W60" s="73">
        <f t="shared" si="239"/>
        <v>22</v>
      </c>
      <c r="X60" s="73">
        <f t="shared" si="240"/>
        <v>10</v>
      </c>
      <c r="Y60" s="73">
        <f t="shared" si="240"/>
        <v>30</v>
      </c>
      <c r="Z60" s="108">
        <f t="shared" si="240"/>
        <v>5</v>
      </c>
      <c r="AA60" s="74"/>
      <c r="AB60" s="204">
        <f t="shared" si="241"/>
        <v>0.85</v>
      </c>
      <c r="AC60" s="68">
        <f t="shared" si="242"/>
        <v>1628.6</v>
      </c>
      <c r="AD60" s="73">
        <f t="shared" si="243"/>
        <v>22</v>
      </c>
      <c r="AE60" s="73">
        <f t="shared" si="244"/>
        <v>5</v>
      </c>
      <c r="AF60" s="73">
        <f t="shared" si="244"/>
        <v>35</v>
      </c>
      <c r="AG60" s="108">
        <f t="shared" si="245"/>
        <v>15</v>
      </c>
      <c r="AH60" s="75"/>
      <c r="AI60" s="204">
        <f t="shared" si="246"/>
        <v>0.85</v>
      </c>
      <c r="AJ60" s="68">
        <f t="shared" si="247"/>
        <v>0</v>
      </c>
      <c r="AK60" s="73">
        <f t="shared" si="248"/>
        <v>22</v>
      </c>
      <c r="AL60" s="225">
        <f t="shared" si="249"/>
        <v>7.5</v>
      </c>
      <c r="AM60" s="73">
        <f t="shared" si="249"/>
        <v>50</v>
      </c>
      <c r="AN60" s="76">
        <v>0</v>
      </c>
      <c r="AO60" s="68">
        <v>0</v>
      </c>
      <c r="AP60" s="73">
        <f t="shared" si="226"/>
        <v>15</v>
      </c>
      <c r="AQ60" s="73">
        <f t="shared" si="226"/>
        <v>5</v>
      </c>
      <c r="AR60" s="73">
        <f t="shared" si="226"/>
        <v>20</v>
      </c>
      <c r="AS60" s="108">
        <f t="shared" si="250"/>
        <v>15</v>
      </c>
      <c r="AT60" s="84"/>
      <c r="AU60" s="204">
        <f t="shared" si="251"/>
        <v>1</v>
      </c>
      <c r="AV60" s="68">
        <f t="shared" si="252"/>
        <v>0</v>
      </c>
      <c r="AW60" s="73">
        <f t="shared" si="253"/>
        <v>4</v>
      </c>
      <c r="AX60" s="75"/>
      <c r="AY60" s="77">
        <f t="shared" si="254"/>
        <v>0</v>
      </c>
      <c r="AZ60" s="77">
        <f t="shared" si="255"/>
        <v>35829.199999999997</v>
      </c>
      <c r="BA60" s="77">
        <f t="shared" si="256"/>
        <v>0</v>
      </c>
      <c r="BB60" s="77">
        <f t="shared" si="257"/>
        <v>0</v>
      </c>
      <c r="BC60" s="77">
        <f t="shared" si="258"/>
        <v>8143</v>
      </c>
      <c r="BD60" s="77">
        <f t="shared" si="259"/>
        <v>0</v>
      </c>
      <c r="BE60" s="77">
        <f t="shared" si="260"/>
        <v>0</v>
      </c>
      <c r="BF60" s="77">
        <f t="shared" si="261"/>
        <v>57001</v>
      </c>
      <c r="BG60" s="77">
        <f t="shared" si="262"/>
        <v>0</v>
      </c>
      <c r="BH60" s="77">
        <f t="shared" si="263"/>
        <v>0</v>
      </c>
      <c r="BI60" s="110">
        <f t="shared" si="264"/>
        <v>0</v>
      </c>
      <c r="BJ60" s="110">
        <f t="shared" si="265"/>
        <v>24429</v>
      </c>
      <c r="BK60" s="110">
        <f t="shared" si="266"/>
        <v>0</v>
      </c>
      <c r="BL60" s="84"/>
      <c r="BM60" s="79">
        <f t="shared" si="267"/>
        <v>35829.199999999997</v>
      </c>
      <c r="BN60" s="79">
        <f t="shared" si="268"/>
        <v>8143</v>
      </c>
      <c r="BO60" s="79">
        <f t="shared" si="269"/>
        <v>57001</v>
      </c>
      <c r="BP60" s="111">
        <f t="shared" si="270"/>
        <v>24429</v>
      </c>
      <c r="BR60" s="80">
        <f t="shared" si="271"/>
        <v>19.905111111111111</v>
      </c>
      <c r="BS60" s="80">
        <f t="shared" si="272"/>
        <v>1.8591324200913242</v>
      </c>
      <c r="BU60" s="81">
        <f t="shared" si="273"/>
        <v>10.644444444444444</v>
      </c>
      <c r="BV60" s="81">
        <f t="shared" si="273"/>
        <v>10.644444444444444</v>
      </c>
      <c r="BW60" s="79">
        <f t="shared" si="274"/>
        <v>19734.799999999996</v>
      </c>
      <c r="BX60" s="80">
        <f t="shared" si="275"/>
        <v>161.79555555555555</v>
      </c>
      <c r="BY60" s="82"/>
      <c r="BZ60" s="79"/>
      <c r="CA60" s="80"/>
      <c r="CB60" s="82"/>
      <c r="CC60" s="79">
        <f t="shared" si="276"/>
        <v>13571.666666666666</v>
      </c>
      <c r="CD60" s="80">
        <f t="shared" si="277"/>
        <v>7.2547478437341448</v>
      </c>
      <c r="CF60" s="79">
        <f t="shared" si="278"/>
        <v>90307.46666666666</v>
      </c>
      <c r="CH60" s="233">
        <f t="shared" si="279"/>
        <v>4.79</v>
      </c>
      <c r="CJ60" s="233">
        <f t="shared" si="53"/>
        <v>28740</v>
      </c>
    </row>
    <row r="61" spans="2:88" x14ac:dyDescent="0.2">
      <c r="B61" s="64"/>
      <c r="C61" s="65">
        <v>5</v>
      </c>
      <c r="D61" s="66"/>
      <c r="F61" s="67">
        <v>341.11679851538662</v>
      </c>
      <c r="G61" s="67">
        <v>166.1</v>
      </c>
      <c r="H61" s="69">
        <v>2</v>
      </c>
      <c r="I61" s="68">
        <v>0</v>
      </c>
      <c r="J61" s="67">
        <v>332.2</v>
      </c>
      <c r="K61" s="68">
        <v>0</v>
      </c>
      <c r="L61" s="68">
        <v>0</v>
      </c>
      <c r="M61" s="68"/>
      <c r="N61" s="67">
        <v>332.2</v>
      </c>
      <c r="O61" s="67">
        <v>332.2</v>
      </c>
      <c r="P61" s="70"/>
      <c r="Q61" s="71">
        <f t="shared" si="234"/>
        <v>0</v>
      </c>
      <c r="R61" s="71">
        <f t="shared" si="235"/>
        <v>0</v>
      </c>
      <c r="S61" s="71">
        <f t="shared" si="236"/>
        <v>7.0592500000000014</v>
      </c>
      <c r="T61" s="70"/>
      <c r="U61" s="204">
        <f t="shared" si="237"/>
        <v>0.9</v>
      </c>
      <c r="V61" s="68">
        <f t="shared" si="238"/>
        <v>0</v>
      </c>
      <c r="W61" s="73">
        <f t="shared" si="239"/>
        <v>22</v>
      </c>
      <c r="X61" s="73">
        <f t="shared" si="240"/>
        <v>10</v>
      </c>
      <c r="Y61" s="73">
        <f t="shared" si="240"/>
        <v>30</v>
      </c>
      <c r="Z61" s="108">
        <f t="shared" si="240"/>
        <v>5</v>
      </c>
      <c r="AA61" s="74"/>
      <c r="AB61" s="204">
        <f t="shared" si="241"/>
        <v>0.85</v>
      </c>
      <c r="AC61" s="68">
        <f t="shared" si="242"/>
        <v>282.37</v>
      </c>
      <c r="AD61" s="73">
        <f t="shared" si="243"/>
        <v>22</v>
      </c>
      <c r="AE61" s="73">
        <f t="shared" si="244"/>
        <v>5</v>
      </c>
      <c r="AF61" s="73">
        <f t="shared" si="244"/>
        <v>35</v>
      </c>
      <c r="AG61" s="108">
        <f t="shared" si="245"/>
        <v>15</v>
      </c>
      <c r="AH61" s="75"/>
      <c r="AI61" s="204">
        <f t="shared" si="246"/>
        <v>0.85</v>
      </c>
      <c r="AJ61" s="68">
        <f t="shared" si="247"/>
        <v>0</v>
      </c>
      <c r="AK61" s="73">
        <f t="shared" si="248"/>
        <v>22</v>
      </c>
      <c r="AL61" s="225">
        <f t="shared" si="249"/>
        <v>7.5</v>
      </c>
      <c r="AM61" s="73">
        <f t="shared" si="249"/>
        <v>50</v>
      </c>
      <c r="AN61" s="76">
        <v>0</v>
      </c>
      <c r="AO61" s="68">
        <v>0</v>
      </c>
      <c r="AP61" s="73">
        <f t="shared" si="226"/>
        <v>15</v>
      </c>
      <c r="AQ61" s="73">
        <f t="shared" si="226"/>
        <v>5</v>
      </c>
      <c r="AR61" s="73">
        <f t="shared" si="226"/>
        <v>20</v>
      </c>
      <c r="AS61" s="108">
        <f t="shared" si="250"/>
        <v>15</v>
      </c>
      <c r="AT61" s="84"/>
      <c r="AU61" s="204">
        <f t="shared" si="251"/>
        <v>1</v>
      </c>
      <c r="AV61" s="68">
        <f t="shared" si="252"/>
        <v>0</v>
      </c>
      <c r="AW61" s="73">
        <f t="shared" si="253"/>
        <v>4</v>
      </c>
      <c r="AX61" s="75"/>
      <c r="AY61" s="77">
        <f t="shared" si="254"/>
        <v>0</v>
      </c>
      <c r="AZ61" s="77">
        <f t="shared" si="255"/>
        <v>6212.14</v>
      </c>
      <c r="BA61" s="77">
        <f t="shared" si="256"/>
        <v>0</v>
      </c>
      <c r="BB61" s="77">
        <f t="shared" si="257"/>
        <v>0</v>
      </c>
      <c r="BC61" s="77">
        <f t="shared" si="258"/>
        <v>1411.85</v>
      </c>
      <c r="BD61" s="77">
        <f t="shared" si="259"/>
        <v>0</v>
      </c>
      <c r="BE61" s="77">
        <f t="shared" si="260"/>
        <v>0</v>
      </c>
      <c r="BF61" s="77">
        <f t="shared" si="261"/>
        <v>9882.9500000000007</v>
      </c>
      <c r="BG61" s="77">
        <f t="shared" si="262"/>
        <v>0</v>
      </c>
      <c r="BH61" s="77">
        <f t="shared" si="263"/>
        <v>0</v>
      </c>
      <c r="BI61" s="110">
        <f t="shared" si="264"/>
        <v>0</v>
      </c>
      <c r="BJ61" s="110">
        <f t="shared" si="265"/>
        <v>4235.55</v>
      </c>
      <c r="BK61" s="110">
        <f t="shared" si="266"/>
        <v>0</v>
      </c>
      <c r="BL61" s="84"/>
      <c r="BM61" s="79">
        <f t="shared" si="267"/>
        <v>6212.14</v>
      </c>
      <c r="BN61" s="79">
        <f t="shared" si="268"/>
        <v>1411.85</v>
      </c>
      <c r="BO61" s="79">
        <f t="shared" si="269"/>
        <v>9882.9500000000007</v>
      </c>
      <c r="BP61" s="111">
        <f t="shared" si="270"/>
        <v>4235.55</v>
      </c>
      <c r="BR61" s="80">
        <f t="shared" si="271"/>
        <v>3.4511888888888889</v>
      </c>
      <c r="BS61" s="80">
        <f t="shared" si="272"/>
        <v>0.32234018264840181</v>
      </c>
      <c r="BU61" s="81">
        <f t="shared" si="273"/>
        <v>1.8455555555555554</v>
      </c>
      <c r="BV61" s="81">
        <f t="shared" si="273"/>
        <v>1.8455555555555554</v>
      </c>
      <c r="BW61" s="79">
        <f t="shared" si="274"/>
        <v>3421.6599999999994</v>
      </c>
      <c r="BX61" s="80">
        <f t="shared" si="275"/>
        <v>28.05244444444444</v>
      </c>
      <c r="BY61" s="82"/>
      <c r="BZ61" s="79"/>
      <c r="CA61" s="80"/>
      <c r="CB61" s="82"/>
      <c r="CC61" s="79">
        <f t="shared" si="276"/>
        <v>2353.0833333333335</v>
      </c>
      <c r="CD61" s="80">
        <f t="shared" si="277"/>
        <v>1.2578430238457636</v>
      </c>
      <c r="CF61" s="79">
        <f t="shared" si="278"/>
        <v>15657.693333333335</v>
      </c>
      <c r="CH61" s="233">
        <f t="shared" si="279"/>
        <v>0.83050000000000002</v>
      </c>
      <c r="CJ61" s="233">
        <f t="shared" si="53"/>
        <v>4983</v>
      </c>
    </row>
    <row r="62" spans="2:88" x14ac:dyDescent="0.2">
      <c r="B62" s="64"/>
      <c r="C62" s="65">
        <v>6</v>
      </c>
      <c r="D62" s="66"/>
      <c r="F62" s="67">
        <v>1507.4035527410822</v>
      </c>
      <c r="G62" s="67">
        <v>734</v>
      </c>
      <c r="H62" s="69">
        <v>4</v>
      </c>
      <c r="I62" s="68">
        <v>0</v>
      </c>
      <c r="J62" s="67">
        <v>2936</v>
      </c>
      <c r="K62" s="68">
        <v>0</v>
      </c>
      <c r="L62" s="68">
        <v>0</v>
      </c>
      <c r="M62" s="68"/>
      <c r="N62" s="67">
        <v>2936</v>
      </c>
      <c r="O62" s="67">
        <v>2936</v>
      </c>
      <c r="P62" s="70"/>
      <c r="Q62" s="71">
        <f t="shared" si="234"/>
        <v>0</v>
      </c>
      <c r="R62" s="71">
        <f t="shared" si="235"/>
        <v>0</v>
      </c>
      <c r="S62" s="71">
        <f t="shared" si="236"/>
        <v>62.39</v>
      </c>
      <c r="T62" s="70"/>
      <c r="U62" s="204">
        <f t="shared" si="237"/>
        <v>0.9</v>
      </c>
      <c r="V62" s="68">
        <f t="shared" si="238"/>
        <v>0</v>
      </c>
      <c r="W62" s="73">
        <f t="shared" si="239"/>
        <v>22</v>
      </c>
      <c r="X62" s="73">
        <f t="shared" si="240"/>
        <v>10</v>
      </c>
      <c r="Y62" s="73">
        <f t="shared" si="240"/>
        <v>30</v>
      </c>
      <c r="Z62" s="108">
        <f t="shared" si="240"/>
        <v>5</v>
      </c>
      <c r="AA62" s="74"/>
      <c r="AB62" s="204">
        <f t="shared" si="241"/>
        <v>0.85</v>
      </c>
      <c r="AC62" s="68">
        <f t="shared" si="242"/>
        <v>2495.6</v>
      </c>
      <c r="AD62" s="73">
        <f t="shared" si="243"/>
        <v>22</v>
      </c>
      <c r="AE62" s="73">
        <f t="shared" si="244"/>
        <v>5</v>
      </c>
      <c r="AF62" s="73">
        <f t="shared" si="244"/>
        <v>35</v>
      </c>
      <c r="AG62" s="108">
        <f t="shared" si="245"/>
        <v>15</v>
      </c>
      <c r="AH62" s="75"/>
      <c r="AI62" s="204">
        <f t="shared" si="246"/>
        <v>0.85</v>
      </c>
      <c r="AJ62" s="68">
        <f t="shared" si="247"/>
        <v>0</v>
      </c>
      <c r="AK62" s="73">
        <f t="shared" si="248"/>
        <v>22</v>
      </c>
      <c r="AL62" s="225">
        <f t="shared" si="249"/>
        <v>7.5</v>
      </c>
      <c r="AM62" s="73">
        <f t="shared" si="249"/>
        <v>50</v>
      </c>
      <c r="AN62" s="76">
        <v>0</v>
      </c>
      <c r="AO62" s="68">
        <v>0</v>
      </c>
      <c r="AP62" s="73">
        <f t="shared" si="226"/>
        <v>15</v>
      </c>
      <c r="AQ62" s="73">
        <f t="shared" si="226"/>
        <v>5</v>
      </c>
      <c r="AR62" s="73">
        <f t="shared" si="226"/>
        <v>20</v>
      </c>
      <c r="AS62" s="108">
        <f t="shared" si="250"/>
        <v>15</v>
      </c>
      <c r="AT62" s="84"/>
      <c r="AU62" s="204">
        <f t="shared" si="251"/>
        <v>1</v>
      </c>
      <c r="AV62" s="68">
        <f t="shared" si="252"/>
        <v>0</v>
      </c>
      <c r="AW62" s="73">
        <f t="shared" si="253"/>
        <v>4</v>
      </c>
      <c r="AX62" s="75"/>
      <c r="AY62" s="77">
        <f t="shared" si="254"/>
        <v>0</v>
      </c>
      <c r="AZ62" s="77">
        <f t="shared" si="255"/>
        <v>54903.199999999997</v>
      </c>
      <c r="BA62" s="77">
        <f t="shared" si="256"/>
        <v>0</v>
      </c>
      <c r="BB62" s="77">
        <f t="shared" si="257"/>
        <v>0</v>
      </c>
      <c r="BC62" s="77">
        <f t="shared" si="258"/>
        <v>12478</v>
      </c>
      <c r="BD62" s="77">
        <f t="shared" si="259"/>
        <v>0</v>
      </c>
      <c r="BE62" s="77">
        <f t="shared" si="260"/>
        <v>0</v>
      </c>
      <c r="BF62" s="77">
        <f t="shared" si="261"/>
        <v>87346</v>
      </c>
      <c r="BG62" s="77">
        <f t="shared" si="262"/>
        <v>0</v>
      </c>
      <c r="BH62" s="77">
        <f t="shared" si="263"/>
        <v>0</v>
      </c>
      <c r="BI62" s="110">
        <f t="shared" si="264"/>
        <v>0</v>
      </c>
      <c r="BJ62" s="110">
        <f t="shared" si="265"/>
        <v>37434</v>
      </c>
      <c r="BK62" s="110">
        <f t="shared" si="266"/>
        <v>0</v>
      </c>
      <c r="BL62" s="84"/>
      <c r="BM62" s="79">
        <f t="shared" si="267"/>
        <v>54903.199999999997</v>
      </c>
      <c r="BN62" s="79">
        <f t="shared" si="268"/>
        <v>12478</v>
      </c>
      <c r="BO62" s="79">
        <f t="shared" si="269"/>
        <v>87346</v>
      </c>
      <c r="BP62" s="111">
        <f t="shared" si="270"/>
        <v>37434</v>
      </c>
      <c r="BR62" s="80">
        <f t="shared" si="271"/>
        <v>30.501777777777775</v>
      </c>
      <c r="BS62" s="80">
        <f t="shared" si="272"/>
        <v>2.8488584474885843</v>
      </c>
      <c r="BU62" s="81">
        <f t="shared" si="273"/>
        <v>16.31111111111111</v>
      </c>
      <c r="BV62" s="81">
        <f t="shared" si="273"/>
        <v>16.31111111111111</v>
      </c>
      <c r="BW62" s="79">
        <f t="shared" si="274"/>
        <v>30240.799999999999</v>
      </c>
      <c r="BX62" s="80">
        <f t="shared" si="275"/>
        <v>247.92888888888885</v>
      </c>
      <c r="BY62" s="82"/>
      <c r="BZ62" s="79"/>
      <c r="CA62" s="80"/>
      <c r="CB62" s="82"/>
      <c r="CC62" s="79">
        <f t="shared" si="276"/>
        <v>20796.666666666664</v>
      </c>
      <c r="CD62" s="80">
        <f t="shared" si="277"/>
        <v>11.116878741755453</v>
      </c>
      <c r="CF62" s="79">
        <f t="shared" si="278"/>
        <v>138383.46666666667</v>
      </c>
      <c r="CH62" s="233">
        <f t="shared" si="279"/>
        <v>7.34</v>
      </c>
      <c r="CJ62" s="233">
        <f t="shared" si="53"/>
        <v>44040</v>
      </c>
    </row>
    <row r="63" spans="2:88" x14ac:dyDescent="0.2">
      <c r="B63" s="64"/>
      <c r="C63" s="65">
        <v>7</v>
      </c>
      <c r="D63" s="66"/>
      <c r="F63" s="67">
        <v>1180.8679057576599</v>
      </c>
      <c r="G63" s="67">
        <v>575</v>
      </c>
      <c r="H63" s="69">
        <v>4</v>
      </c>
      <c r="I63" s="68">
        <v>0</v>
      </c>
      <c r="J63" s="67">
        <v>2300</v>
      </c>
      <c r="K63" s="68">
        <v>0</v>
      </c>
      <c r="L63" s="68">
        <v>0</v>
      </c>
      <c r="M63" s="68"/>
      <c r="N63" s="67">
        <v>2300</v>
      </c>
      <c r="O63" s="67">
        <v>2300</v>
      </c>
      <c r="P63" s="70"/>
      <c r="Q63" s="71">
        <f t="shared" si="234"/>
        <v>0</v>
      </c>
      <c r="R63" s="71">
        <f t="shared" si="235"/>
        <v>0</v>
      </c>
      <c r="S63" s="71">
        <f t="shared" si="236"/>
        <v>48.875</v>
      </c>
      <c r="T63" s="70"/>
      <c r="U63" s="204">
        <f t="shared" si="237"/>
        <v>0.9</v>
      </c>
      <c r="V63" s="68">
        <f t="shared" si="238"/>
        <v>0</v>
      </c>
      <c r="W63" s="73">
        <f t="shared" si="239"/>
        <v>22</v>
      </c>
      <c r="X63" s="73">
        <f t="shared" si="240"/>
        <v>10</v>
      </c>
      <c r="Y63" s="73">
        <f t="shared" si="240"/>
        <v>30</v>
      </c>
      <c r="Z63" s="108">
        <f t="shared" si="240"/>
        <v>5</v>
      </c>
      <c r="AA63" s="74"/>
      <c r="AB63" s="204">
        <f t="shared" si="241"/>
        <v>0.85</v>
      </c>
      <c r="AC63" s="68">
        <f t="shared" si="242"/>
        <v>1955</v>
      </c>
      <c r="AD63" s="73">
        <f t="shared" si="243"/>
        <v>22</v>
      </c>
      <c r="AE63" s="73">
        <f t="shared" si="244"/>
        <v>5</v>
      </c>
      <c r="AF63" s="73">
        <f t="shared" si="244"/>
        <v>35</v>
      </c>
      <c r="AG63" s="108">
        <f t="shared" si="245"/>
        <v>15</v>
      </c>
      <c r="AH63" s="75"/>
      <c r="AI63" s="204">
        <f t="shared" si="246"/>
        <v>0.85</v>
      </c>
      <c r="AJ63" s="68">
        <f t="shared" si="247"/>
        <v>0</v>
      </c>
      <c r="AK63" s="73">
        <f t="shared" si="248"/>
        <v>22</v>
      </c>
      <c r="AL63" s="225">
        <f t="shared" si="249"/>
        <v>7.5</v>
      </c>
      <c r="AM63" s="73">
        <f t="shared" si="249"/>
        <v>50</v>
      </c>
      <c r="AN63" s="76">
        <v>0</v>
      </c>
      <c r="AO63" s="68">
        <v>0</v>
      </c>
      <c r="AP63" s="73">
        <f t="shared" si="226"/>
        <v>15</v>
      </c>
      <c r="AQ63" s="73">
        <f t="shared" si="226"/>
        <v>5</v>
      </c>
      <c r="AR63" s="73">
        <f t="shared" si="226"/>
        <v>20</v>
      </c>
      <c r="AS63" s="108">
        <f t="shared" si="250"/>
        <v>15</v>
      </c>
      <c r="AT63" s="84"/>
      <c r="AU63" s="204">
        <f t="shared" si="251"/>
        <v>1</v>
      </c>
      <c r="AV63" s="68">
        <f t="shared" si="252"/>
        <v>0</v>
      </c>
      <c r="AW63" s="73">
        <f t="shared" si="253"/>
        <v>4</v>
      </c>
      <c r="AX63" s="75"/>
      <c r="AY63" s="77">
        <f t="shared" si="254"/>
        <v>0</v>
      </c>
      <c r="AZ63" s="77">
        <f t="shared" si="255"/>
        <v>43010</v>
      </c>
      <c r="BA63" s="77">
        <f t="shared" si="256"/>
        <v>0</v>
      </c>
      <c r="BB63" s="77">
        <f t="shared" si="257"/>
        <v>0</v>
      </c>
      <c r="BC63" s="77">
        <f t="shared" si="258"/>
        <v>9775</v>
      </c>
      <c r="BD63" s="77">
        <f t="shared" si="259"/>
        <v>0</v>
      </c>
      <c r="BE63" s="77">
        <f t="shared" si="260"/>
        <v>0</v>
      </c>
      <c r="BF63" s="77">
        <f t="shared" si="261"/>
        <v>68425</v>
      </c>
      <c r="BG63" s="77">
        <f t="shared" si="262"/>
        <v>0</v>
      </c>
      <c r="BH63" s="77">
        <f t="shared" si="263"/>
        <v>0</v>
      </c>
      <c r="BI63" s="110">
        <f t="shared" si="264"/>
        <v>0</v>
      </c>
      <c r="BJ63" s="110">
        <f t="shared" si="265"/>
        <v>29325</v>
      </c>
      <c r="BK63" s="110">
        <f t="shared" si="266"/>
        <v>0</v>
      </c>
      <c r="BL63" s="84"/>
      <c r="BM63" s="79">
        <f t="shared" si="267"/>
        <v>43010</v>
      </c>
      <c r="BN63" s="79">
        <f t="shared" si="268"/>
        <v>9775</v>
      </c>
      <c r="BO63" s="79">
        <f t="shared" si="269"/>
        <v>68425</v>
      </c>
      <c r="BP63" s="111">
        <f t="shared" si="270"/>
        <v>29325</v>
      </c>
      <c r="BR63" s="80">
        <f t="shared" si="271"/>
        <v>23.894444444444446</v>
      </c>
      <c r="BS63" s="80">
        <f t="shared" si="272"/>
        <v>2.2317351598173514</v>
      </c>
      <c r="BU63" s="81">
        <f t="shared" si="273"/>
        <v>12.777777777777779</v>
      </c>
      <c r="BV63" s="81">
        <f t="shared" si="273"/>
        <v>12.777777777777779</v>
      </c>
      <c r="BW63" s="79">
        <f t="shared" si="274"/>
        <v>23690</v>
      </c>
      <c r="BX63" s="80">
        <f t="shared" si="275"/>
        <v>194.22222222222223</v>
      </c>
      <c r="BY63" s="82"/>
      <c r="BZ63" s="79"/>
      <c r="CA63" s="80"/>
      <c r="CB63" s="82"/>
      <c r="CC63" s="79">
        <f t="shared" si="276"/>
        <v>16291.666666666666</v>
      </c>
      <c r="CD63" s="80">
        <f t="shared" si="277"/>
        <v>8.7087265347539322</v>
      </c>
      <c r="CF63" s="79">
        <f t="shared" si="278"/>
        <v>108406.66666666667</v>
      </c>
      <c r="CH63" s="233">
        <f t="shared" si="279"/>
        <v>5.75</v>
      </c>
      <c r="CJ63" s="233">
        <f t="shared" si="53"/>
        <v>34500</v>
      </c>
    </row>
    <row r="64" spans="2:88" x14ac:dyDescent="0.2">
      <c r="B64" s="172"/>
      <c r="C64" s="65">
        <v>8</v>
      </c>
      <c r="D64" s="66"/>
      <c r="F64" s="67">
        <v>671.55444379609526</v>
      </c>
      <c r="G64" s="67">
        <v>327</v>
      </c>
      <c r="H64" s="69">
        <v>4</v>
      </c>
      <c r="I64" s="68">
        <v>0</v>
      </c>
      <c r="J64" s="67">
        <v>0</v>
      </c>
      <c r="K64" s="68">
        <v>1308</v>
      </c>
      <c r="L64" s="68">
        <v>0</v>
      </c>
      <c r="M64" s="68"/>
      <c r="N64" s="67">
        <v>1308</v>
      </c>
      <c r="O64" s="67">
        <v>1308</v>
      </c>
      <c r="P64" s="70"/>
      <c r="Q64" s="71">
        <f t="shared" si="234"/>
        <v>0</v>
      </c>
      <c r="R64" s="71">
        <f t="shared" si="235"/>
        <v>0</v>
      </c>
      <c r="S64" s="71">
        <f t="shared" si="236"/>
        <v>18.761625000000002</v>
      </c>
      <c r="T64" s="70"/>
      <c r="U64" s="204">
        <f t="shared" si="237"/>
        <v>0.9</v>
      </c>
      <c r="V64" s="68">
        <f t="shared" si="238"/>
        <v>0</v>
      </c>
      <c r="W64" s="73">
        <f t="shared" si="239"/>
        <v>22</v>
      </c>
      <c r="X64" s="73">
        <f t="shared" si="240"/>
        <v>10</v>
      </c>
      <c r="Y64" s="73">
        <f t="shared" si="240"/>
        <v>30</v>
      </c>
      <c r="Z64" s="108">
        <f t="shared" si="240"/>
        <v>5</v>
      </c>
      <c r="AA64" s="74"/>
      <c r="AB64" s="204">
        <f t="shared" si="241"/>
        <v>0.85</v>
      </c>
      <c r="AC64" s="68">
        <f t="shared" si="242"/>
        <v>0</v>
      </c>
      <c r="AD64" s="73">
        <f t="shared" si="243"/>
        <v>22</v>
      </c>
      <c r="AE64" s="73">
        <f t="shared" si="244"/>
        <v>5</v>
      </c>
      <c r="AF64" s="73">
        <f t="shared" si="244"/>
        <v>35</v>
      </c>
      <c r="AG64" s="108">
        <f t="shared" si="245"/>
        <v>15</v>
      </c>
      <c r="AH64" s="75"/>
      <c r="AI64" s="204">
        <f t="shared" si="246"/>
        <v>0.85</v>
      </c>
      <c r="AJ64" s="68">
        <f t="shared" si="247"/>
        <v>1111.8</v>
      </c>
      <c r="AK64" s="73">
        <f t="shared" si="248"/>
        <v>22</v>
      </c>
      <c r="AL64" s="225">
        <f t="shared" si="249"/>
        <v>7.5</v>
      </c>
      <c r="AM64" s="73">
        <f t="shared" si="249"/>
        <v>50</v>
      </c>
      <c r="AN64" s="76">
        <v>0</v>
      </c>
      <c r="AO64" s="68">
        <v>0</v>
      </c>
      <c r="AP64" s="73">
        <f t="shared" si="226"/>
        <v>15</v>
      </c>
      <c r="AQ64" s="73">
        <f t="shared" si="226"/>
        <v>5</v>
      </c>
      <c r="AR64" s="73">
        <f t="shared" si="226"/>
        <v>20</v>
      </c>
      <c r="AS64" s="108">
        <f t="shared" si="250"/>
        <v>15</v>
      </c>
      <c r="AT64" s="84"/>
      <c r="AU64" s="204">
        <f t="shared" si="251"/>
        <v>1</v>
      </c>
      <c r="AV64" s="68">
        <f t="shared" si="252"/>
        <v>0</v>
      </c>
      <c r="AW64" s="73">
        <f t="shared" si="253"/>
        <v>4</v>
      </c>
      <c r="AX64" s="75"/>
      <c r="AY64" s="77">
        <f t="shared" si="254"/>
        <v>0</v>
      </c>
      <c r="AZ64" s="77">
        <f t="shared" si="255"/>
        <v>0</v>
      </c>
      <c r="BA64" s="77">
        <f t="shared" si="256"/>
        <v>24459.599999999999</v>
      </c>
      <c r="BB64" s="77">
        <f t="shared" si="257"/>
        <v>0</v>
      </c>
      <c r="BC64" s="77">
        <f t="shared" si="258"/>
        <v>0</v>
      </c>
      <c r="BD64" s="77">
        <f t="shared" si="259"/>
        <v>8338.5</v>
      </c>
      <c r="BE64" s="77">
        <f t="shared" si="260"/>
        <v>0</v>
      </c>
      <c r="BF64" s="77">
        <f t="shared" si="261"/>
        <v>0</v>
      </c>
      <c r="BG64" s="77">
        <f t="shared" si="262"/>
        <v>55590</v>
      </c>
      <c r="BH64" s="77">
        <f t="shared" si="263"/>
        <v>0</v>
      </c>
      <c r="BI64" s="110">
        <f t="shared" si="264"/>
        <v>0</v>
      </c>
      <c r="BJ64" s="110">
        <f t="shared" si="265"/>
        <v>0</v>
      </c>
      <c r="BK64" s="110">
        <f t="shared" si="266"/>
        <v>16677</v>
      </c>
      <c r="BL64" s="84"/>
      <c r="BM64" s="79">
        <f t="shared" si="267"/>
        <v>24459.599999999999</v>
      </c>
      <c r="BN64" s="79">
        <f t="shared" si="268"/>
        <v>8338.5</v>
      </c>
      <c r="BO64" s="79">
        <f t="shared" si="269"/>
        <v>55590</v>
      </c>
      <c r="BP64" s="111">
        <f t="shared" si="270"/>
        <v>16677</v>
      </c>
      <c r="BR64" s="80">
        <f t="shared" si="271"/>
        <v>13.588666666666667</v>
      </c>
      <c r="BS64" s="80">
        <f t="shared" si="272"/>
        <v>1.9037671232876712</v>
      </c>
      <c r="BU64" s="81">
        <f t="shared" si="273"/>
        <v>7.2666666666666657</v>
      </c>
      <c r="BV64" s="81">
        <f t="shared" si="273"/>
        <v>7.2666666666666657</v>
      </c>
      <c r="BW64" s="79">
        <f t="shared" si="274"/>
        <v>13472.399999999998</v>
      </c>
      <c r="BX64" s="80">
        <f t="shared" si="275"/>
        <v>110.45333333333332</v>
      </c>
      <c r="BY64" s="82"/>
      <c r="BZ64" s="79"/>
      <c r="CA64" s="80"/>
      <c r="CB64" s="82"/>
      <c r="CC64" s="79">
        <f t="shared" si="276"/>
        <v>9820.9</v>
      </c>
      <c r="CD64" s="80">
        <f t="shared" si="277"/>
        <v>5.1641445966514459</v>
      </c>
      <c r="CF64" s="79">
        <f t="shared" si="278"/>
        <v>78883.299999999988</v>
      </c>
      <c r="CH64" s="233">
        <f t="shared" si="279"/>
        <v>3.27</v>
      </c>
      <c r="CJ64" s="233">
        <f t="shared" si="53"/>
        <v>19620</v>
      </c>
    </row>
    <row r="65" spans="2:88" s="117" customFormat="1" x14ac:dyDescent="0.2">
      <c r="B65" s="135" t="s">
        <v>79</v>
      </c>
      <c r="C65" s="136">
        <v>9</v>
      </c>
      <c r="D65" s="137" t="s">
        <v>69</v>
      </c>
      <c r="F65" s="138">
        <v>1689.1545260620439</v>
      </c>
      <c r="G65" s="138">
        <v>822.5</v>
      </c>
      <c r="H65" s="139">
        <v>1</v>
      </c>
      <c r="I65" s="138">
        <v>0</v>
      </c>
      <c r="J65" s="138">
        <v>0</v>
      </c>
      <c r="K65" s="138">
        <v>822.5</v>
      </c>
      <c r="L65" s="138">
        <v>0</v>
      </c>
      <c r="M65" s="138"/>
      <c r="N65" s="138">
        <v>822.5</v>
      </c>
      <c r="O65" s="138">
        <v>822.5</v>
      </c>
      <c r="P65" s="120"/>
      <c r="Q65" s="121">
        <f t="shared" si="234"/>
        <v>0</v>
      </c>
      <c r="R65" s="121">
        <f t="shared" si="235"/>
        <v>0</v>
      </c>
      <c r="S65" s="121">
        <f t="shared" si="236"/>
        <v>11.797734375000001</v>
      </c>
      <c r="T65" s="120"/>
      <c r="U65" s="215">
        <f t="shared" si="237"/>
        <v>0.9</v>
      </c>
      <c r="V65" s="138">
        <f t="shared" si="238"/>
        <v>0</v>
      </c>
      <c r="W65" s="140">
        <v>180</v>
      </c>
      <c r="X65" s="140">
        <f t="shared" si="240"/>
        <v>10</v>
      </c>
      <c r="Y65" s="140">
        <f t="shared" si="240"/>
        <v>30</v>
      </c>
      <c r="Z65" s="108">
        <f t="shared" si="240"/>
        <v>5</v>
      </c>
      <c r="AA65" s="123"/>
      <c r="AB65" s="215">
        <f t="shared" si="241"/>
        <v>0.85</v>
      </c>
      <c r="AC65" s="138">
        <f t="shared" si="242"/>
        <v>0</v>
      </c>
      <c r="AD65" s="140">
        <v>180</v>
      </c>
      <c r="AE65" s="140">
        <f t="shared" si="244"/>
        <v>5</v>
      </c>
      <c r="AF65" s="140">
        <f t="shared" si="244"/>
        <v>35</v>
      </c>
      <c r="AG65" s="108">
        <f t="shared" si="245"/>
        <v>15</v>
      </c>
      <c r="AH65" s="123"/>
      <c r="AI65" s="215">
        <f t="shared" si="246"/>
        <v>0.85</v>
      </c>
      <c r="AJ65" s="138">
        <f t="shared" si="247"/>
        <v>699.125</v>
      </c>
      <c r="AK65" s="140">
        <v>180</v>
      </c>
      <c r="AL65" s="223">
        <f t="shared" si="249"/>
        <v>7.5</v>
      </c>
      <c r="AM65" s="140">
        <f t="shared" si="249"/>
        <v>50</v>
      </c>
      <c r="AN65" s="124">
        <v>0</v>
      </c>
      <c r="AO65" s="118">
        <v>0</v>
      </c>
      <c r="AP65" s="122">
        <f t="shared" si="226"/>
        <v>15</v>
      </c>
      <c r="AQ65" s="122">
        <f t="shared" si="226"/>
        <v>5</v>
      </c>
      <c r="AR65" s="122">
        <f t="shared" si="226"/>
        <v>20</v>
      </c>
      <c r="AS65" s="108">
        <f t="shared" si="250"/>
        <v>15</v>
      </c>
      <c r="AT65" s="125"/>
      <c r="AU65" s="215">
        <f t="shared" si="251"/>
        <v>1</v>
      </c>
      <c r="AV65" s="138">
        <f t="shared" si="252"/>
        <v>0</v>
      </c>
      <c r="AW65" s="140">
        <f t="shared" si="253"/>
        <v>4</v>
      </c>
      <c r="AX65" s="123"/>
      <c r="AY65" s="141">
        <f t="shared" si="254"/>
        <v>0</v>
      </c>
      <c r="AZ65" s="141">
        <f t="shared" si="255"/>
        <v>0</v>
      </c>
      <c r="BA65" s="141">
        <f t="shared" si="256"/>
        <v>125842.5</v>
      </c>
      <c r="BB65" s="141">
        <f t="shared" si="257"/>
        <v>0</v>
      </c>
      <c r="BC65" s="141">
        <f t="shared" si="258"/>
        <v>0</v>
      </c>
      <c r="BD65" s="141">
        <f t="shared" si="259"/>
        <v>5243.4375</v>
      </c>
      <c r="BE65" s="141">
        <f t="shared" si="260"/>
        <v>0</v>
      </c>
      <c r="BF65" s="141">
        <f t="shared" si="261"/>
        <v>0</v>
      </c>
      <c r="BG65" s="141">
        <f t="shared" si="262"/>
        <v>34956.25</v>
      </c>
      <c r="BH65" s="141">
        <f t="shared" si="263"/>
        <v>0</v>
      </c>
      <c r="BI65" s="110">
        <f t="shared" si="264"/>
        <v>0</v>
      </c>
      <c r="BJ65" s="110">
        <f t="shared" si="265"/>
        <v>0</v>
      </c>
      <c r="BK65" s="110">
        <f t="shared" si="266"/>
        <v>10486.875</v>
      </c>
      <c r="BL65" s="125"/>
      <c r="BM65" s="142">
        <f t="shared" si="267"/>
        <v>125842.5</v>
      </c>
      <c r="BN65" s="142">
        <f t="shared" si="268"/>
        <v>5243.4375</v>
      </c>
      <c r="BO65" s="142">
        <f t="shared" si="269"/>
        <v>34956.25</v>
      </c>
      <c r="BP65" s="111">
        <f t="shared" si="270"/>
        <v>10486.875</v>
      </c>
      <c r="BR65" s="143">
        <f t="shared" si="271"/>
        <v>69.912499999999994</v>
      </c>
      <c r="BS65" s="143">
        <f t="shared" si="272"/>
        <v>1.1971318493150684</v>
      </c>
      <c r="BU65" s="144">
        <f t="shared" si="273"/>
        <v>4.5694444444444438</v>
      </c>
      <c r="BV65" s="144">
        <f t="shared" si="273"/>
        <v>4.5694444444444438</v>
      </c>
      <c r="BW65" s="142">
        <f t="shared" si="274"/>
        <v>8471.7499999999982</v>
      </c>
      <c r="BX65" s="143">
        <f t="shared" si="275"/>
        <v>69.455555555555549</v>
      </c>
      <c r="BY65" s="130"/>
      <c r="BZ65" s="142"/>
      <c r="CA65" s="143"/>
      <c r="CB65" s="130"/>
      <c r="CC65" s="142">
        <f t="shared" si="276"/>
        <v>42996.1875</v>
      </c>
      <c r="CD65" s="143">
        <f t="shared" si="277"/>
        <v>23.703210616438351</v>
      </c>
      <c r="CF65" s="142">
        <f t="shared" si="278"/>
        <v>86424.1875</v>
      </c>
      <c r="CH65" s="231">
        <f t="shared" si="279"/>
        <v>2.0562499999999999</v>
      </c>
      <c r="CJ65" s="231">
        <f t="shared" si="53"/>
        <v>12337.5</v>
      </c>
    </row>
    <row r="66" spans="2:88" s="117" customFormat="1" x14ac:dyDescent="0.2">
      <c r="B66" s="135" t="s">
        <v>79</v>
      </c>
      <c r="C66" s="136">
        <v>10</v>
      </c>
      <c r="D66" s="137" t="s">
        <v>69</v>
      </c>
      <c r="F66" s="138">
        <v>960.8157386238629</v>
      </c>
      <c r="G66" s="138">
        <v>467.85</v>
      </c>
      <c r="H66" s="139">
        <v>6</v>
      </c>
      <c r="I66" s="138">
        <v>0</v>
      </c>
      <c r="J66" s="138">
        <v>2807.1000000000004</v>
      </c>
      <c r="K66" s="138">
        <v>0</v>
      </c>
      <c r="L66" s="138">
        <v>0</v>
      </c>
      <c r="M66" s="138"/>
      <c r="N66" s="138">
        <v>2807.1000000000004</v>
      </c>
      <c r="O66" s="138">
        <v>2807.1000000000004</v>
      </c>
      <c r="P66" s="120"/>
      <c r="Q66" s="121">
        <f t="shared" si="234"/>
        <v>0</v>
      </c>
      <c r="R66" s="121">
        <f t="shared" si="235"/>
        <v>0</v>
      </c>
      <c r="S66" s="121">
        <f t="shared" si="236"/>
        <v>59.650875000000006</v>
      </c>
      <c r="T66" s="120"/>
      <c r="U66" s="215">
        <f t="shared" si="237"/>
        <v>0.9</v>
      </c>
      <c r="V66" s="138">
        <f t="shared" si="238"/>
        <v>0</v>
      </c>
      <c r="W66" s="140">
        <v>200</v>
      </c>
      <c r="X66" s="140">
        <f t="shared" si="240"/>
        <v>10</v>
      </c>
      <c r="Y66" s="140">
        <f t="shared" si="240"/>
        <v>30</v>
      </c>
      <c r="Z66" s="108">
        <f t="shared" si="240"/>
        <v>5</v>
      </c>
      <c r="AA66" s="123"/>
      <c r="AB66" s="215">
        <f t="shared" si="241"/>
        <v>0.85</v>
      </c>
      <c r="AC66" s="138">
        <f t="shared" si="242"/>
        <v>2386.0350000000003</v>
      </c>
      <c r="AD66" s="140">
        <v>200</v>
      </c>
      <c r="AE66" s="140">
        <f t="shared" si="244"/>
        <v>5</v>
      </c>
      <c r="AF66" s="140">
        <f t="shared" si="244"/>
        <v>35</v>
      </c>
      <c r="AG66" s="108">
        <f t="shared" si="245"/>
        <v>15</v>
      </c>
      <c r="AH66" s="123"/>
      <c r="AI66" s="215">
        <f t="shared" si="246"/>
        <v>0.85</v>
      </c>
      <c r="AJ66" s="138">
        <f t="shared" si="247"/>
        <v>0</v>
      </c>
      <c r="AK66" s="140">
        <v>200</v>
      </c>
      <c r="AL66" s="223">
        <f t="shared" si="249"/>
        <v>7.5</v>
      </c>
      <c r="AM66" s="140">
        <f t="shared" si="249"/>
        <v>50</v>
      </c>
      <c r="AN66" s="124">
        <v>0</v>
      </c>
      <c r="AO66" s="118">
        <v>0</v>
      </c>
      <c r="AP66" s="122">
        <f t="shared" si="226"/>
        <v>15</v>
      </c>
      <c r="AQ66" s="122">
        <f t="shared" si="226"/>
        <v>5</v>
      </c>
      <c r="AR66" s="122">
        <f t="shared" si="226"/>
        <v>20</v>
      </c>
      <c r="AS66" s="108">
        <f t="shared" si="250"/>
        <v>15</v>
      </c>
      <c r="AT66" s="125"/>
      <c r="AU66" s="215">
        <f t="shared" si="251"/>
        <v>1</v>
      </c>
      <c r="AV66" s="138">
        <f t="shared" si="252"/>
        <v>0</v>
      </c>
      <c r="AW66" s="140">
        <f t="shared" si="253"/>
        <v>4</v>
      </c>
      <c r="AX66" s="123"/>
      <c r="AY66" s="141">
        <f t="shared" si="254"/>
        <v>0</v>
      </c>
      <c r="AZ66" s="141">
        <f t="shared" si="255"/>
        <v>477207.00000000006</v>
      </c>
      <c r="BA66" s="141">
        <f t="shared" si="256"/>
        <v>0</v>
      </c>
      <c r="BB66" s="141">
        <f t="shared" si="257"/>
        <v>0</v>
      </c>
      <c r="BC66" s="141">
        <f t="shared" si="258"/>
        <v>11930.175000000001</v>
      </c>
      <c r="BD66" s="141">
        <f t="shared" si="259"/>
        <v>0</v>
      </c>
      <c r="BE66" s="141">
        <f t="shared" si="260"/>
        <v>0</v>
      </c>
      <c r="BF66" s="141">
        <f t="shared" si="261"/>
        <v>83511.225000000006</v>
      </c>
      <c r="BG66" s="141">
        <f t="shared" si="262"/>
        <v>0</v>
      </c>
      <c r="BH66" s="141">
        <f t="shared" si="263"/>
        <v>0</v>
      </c>
      <c r="BI66" s="110">
        <f t="shared" si="264"/>
        <v>0</v>
      </c>
      <c r="BJ66" s="110">
        <f t="shared" si="265"/>
        <v>35790.525000000001</v>
      </c>
      <c r="BK66" s="110">
        <f t="shared" si="266"/>
        <v>0</v>
      </c>
      <c r="BL66" s="125"/>
      <c r="BM66" s="142">
        <f t="shared" si="267"/>
        <v>477207.00000000006</v>
      </c>
      <c r="BN66" s="142">
        <f t="shared" si="268"/>
        <v>11930.175000000001</v>
      </c>
      <c r="BO66" s="142">
        <f t="shared" si="269"/>
        <v>83511.225000000006</v>
      </c>
      <c r="BP66" s="111">
        <f t="shared" si="270"/>
        <v>35790.525000000001</v>
      </c>
      <c r="BR66" s="143">
        <f t="shared" si="271"/>
        <v>265.11500000000001</v>
      </c>
      <c r="BS66" s="143">
        <f t="shared" si="272"/>
        <v>2.7237842465753426</v>
      </c>
      <c r="BU66" s="144">
        <f t="shared" si="273"/>
        <v>15.595000000000002</v>
      </c>
      <c r="BV66" s="144">
        <f t="shared" si="273"/>
        <v>15.595000000000002</v>
      </c>
      <c r="BW66" s="142">
        <f t="shared" si="274"/>
        <v>28913.130000000005</v>
      </c>
      <c r="BX66" s="143">
        <f t="shared" si="275"/>
        <v>237.04400000000004</v>
      </c>
      <c r="BY66" s="130"/>
      <c r="BZ66" s="142"/>
      <c r="CA66" s="143"/>
      <c r="CB66" s="130"/>
      <c r="CC66" s="142">
        <f t="shared" si="276"/>
        <v>161455.03500000003</v>
      </c>
      <c r="CD66" s="143">
        <f t="shared" si="277"/>
        <v>89.279594748858457</v>
      </c>
      <c r="CF66" s="142">
        <f t="shared" si="278"/>
        <v>273879.39</v>
      </c>
      <c r="CH66" s="231">
        <f t="shared" si="279"/>
        <v>7.0177500000000013</v>
      </c>
      <c r="CJ66" s="231">
        <f t="shared" si="53"/>
        <v>42106.500000000007</v>
      </c>
    </row>
    <row r="67" spans="2:88" s="117" customFormat="1" x14ac:dyDescent="0.2">
      <c r="B67" s="135" t="s">
        <v>79</v>
      </c>
      <c r="C67" s="136">
        <v>11</v>
      </c>
      <c r="D67" s="137" t="s">
        <v>69</v>
      </c>
      <c r="F67" s="138">
        <v>253.42452099216561</v>
      </c>
      <c r="G67" s="138">
        <v>123.4</v>
      </c>
      <c r="H67" s="139">
        <v>4</v>
      </c>
      <c r="I67" s="138">
        <v>0</v>
      </c>
      <c r="J67" s="138">
        <v>493.6</v>
      </c>
      <c r="K67" s="138">
        <v>0</v>
      </c>
      <c r="L67" s="138">
        <v>0</v>
      </c>
      <c r="M67" s="138"/>
      <c r="N67" s="138">
        <v>493.6</v>
      </c>
      <c r="O67" s="138">
        <v>493.6</v>
      </c>
      <c r="P67" s="120"/>
      <c r="Q67" s="121">
        <f t="shared" si="234"/>
        <v>0</v>
      </c>
      <c r="R67" s="121">
        <f t="shared" si="235"/>
        <v>0</v>
      </c>
      <c r="S67" s="121">
        <f t="shared" si="236"/>
        <v>10.489000000000001</v>
      </c>
      <c r="T67" s="120"/>
      <c r="U67" s="215">
        <f t="shared" si="237"/>
        <v>0.9</v>
      </c>
      <c r="V67" s="138">
        <f t="shared" si="238"/>
        <v>0</v>
      </c>
      <c r="W67" s="140">
        <v>200</v>
      </c>
      <c r="X67" s="140">
        <f t="shared" si="240"/>
        <v>10</v>
      </c>
      <c r="Y67" s="140">
        <f t="shared" si="240"/>
        <v>30</v>
      </c>
      <c r="Z67" s="108">
        <f t="shared" si="240"/>
        <v>5</v>
      </c>
      <c r="AA67" s="123"/>
      <c r="AB67" s="215">
        <f t="shared" si="241"/>
        <v>0.85</v>
      </c>
      <c r="AC67" s="138">
        <f t="shared" si="242"/>
        <v>419.56</v>
      </c>
      <c r="AD67" s="140">
        <v>200</v>
      </c>
      <c r="AE67" s="140">
        <f t="shared" si="244"/>
        <v>5</v>
      </c>
      <c r="AF67" s="140">
        <f t="shared" si="244"/>
        <v>35</v>
      </c>
      <c r="AG67" s="108">
        <f t="shared" si="245"/>
        <v>15</v>
      </c>
      <c r="AH67" s="123"/>
      <c r="AI67" s="215">
        <f t="shared" si="246"/>
        <v>0.85</v>
      </c>
      <c r="AJ67" s="138">
        <f t="shared" si="247"/>
        <v>0</v>
      </c>
      <c r="AK67" s="140">
        <v>200</v>
      </c>
      <c r="AL67" s="223">
        <f t="shared" si="249"/>
        <v>7.5</v>
      </c>
      <c r="AM67" s="140">
        <f t="shared" si="249"/>
        <v>50</v>
      </c>
      <c r="AN67" s="124">
        <v>0</v>
      </c>
      <c r="AO67" s="118">
        <v>0</v>
      </c>
      <c r="AP67" s="122">
        <f t="shared" si="226"/>
        <v>15</v>
      </c>
      <c r="AQ67" s="122">
        <f t="shared" si="226"/>
        <v>5</v>
      </c>
      <c r="AR67" s="122">
        <f t="shared" si="226"/>
        <v>20</v>
      </c>
      <c r="AS67" s="108">
        <f t="shared" si="250"/>
        <v>15</v>
      </c>
      <c r="AT67" s="125"/>
      <c r="AU67" s="215">
        <f t="shared" si="251"/>
        <v>1</v>
      </c>
      <c r="AV67" s="138">
        <f t="shared" si="252"/>
        <v>0</v>
      </c>
      <c r="AW67" s="140">
        <f t="shared" si="253"/>
        <v>4</v>
      </c>
      <c r="AX67" s="123"/>
      <c r="AY67" s="141">
        <f t="shared" si="254"/>
        <v>0</v>
      </c>
      <c r="AZ67" s="141">
        <f t="shared" si="255"/>
        <v>83912</v>
      </c>
      <c r="BA67" s="141">
        <f t="shared" si="256"/>
        <v>0</v>
      </c>
      <c r="BB67" s="141">
        <f t="shared" si="257"/>
        <v>0</v>
      </c>
      <c r="BC67" s="141">
        <f t="shared" si="258"/>
        <v>2097.8000000000002</v>
      </c>
      <c r="BD67" s="141">
        <f t="shared" si="259"/>
        <v>0</v>
      </c>
      <c r="BE67" s="141">
        <f t="shared" si="260"/>
        <v>0</v>
      </c>
      <c r="BF67" s="141">
        <f t="shared" si="261"/>
        <v>14684.6</v>
      </c>
      <c r="BG67" s="141">
        <f t="shared" si="262"/>
        <v>0</v>
      </c>
      <c r="BH67" s="141">
        <f t="shared" si="263"/>
        <v>0</v>
      </c>
      <c r="BI67" s="110">
        <f t="shared" si="264"/>
        <v>0</v>
      </c>
      <c r="BJ67" s="110">
        <f t="shared" si="265"/>
        <v>6293.4</v>
      </c>
      <c r="BK67" s="110">
        <f t="shared" si="266"/>
        <v>0</v>
      </c>
      <c r="BL67" s="125"/>
      <c r="BM67" s="142">
        <f t="shared" si="267"/>
        <v>83912</v>
      </c>
      <c r="BN67" s="142">
        <f t="shared" si="268"/>
        <v>2097.8000000000002</v>
      </c>
      <c r="BO67" s="142">
        <f t="shared" si="269"/>
        <v>14684.6</v>
      </c>
      <c r="BP67" s="111">
        <f t="shared" si="270"/>
        <v>6293.4</v>
      </c>
      <c r="BR67" s="143">
        <f t="shared" si="271"/>
        <v>46.617777777777775</v>
      </c>
      <c r="BS67" s="143">
        <f t="shared" si="272"/>
        <v>0.47894977168949776</v>
      </c>
      <c r="BU67" s="144">
        <f t="shared" si="273"/>
        <v>2.7422222222222223</v>
      </c>
      <c r="BV67" s="144">
        <f t="shared" si="273"/>
        <v>2.7422222222222223</v>
      </c>
      <c r="BW67" s="142">
        <f t="shared" si="274"/>
        <v>5084.08</v>
      </c>
      <c r="BX67" s="143">
        <f t="shared" si="275"/>
        <v>41.681777777777775</v>
      </c>
      <c r="BY67" s="130"/>
      <c r="BZ67" s="142"/>
      <c r="CA67" s="143"/>
      <c r="CB67" s="130"/>
      <c r="CC67" s="142">
        <f t="shared" si="276"/>
        <v>28390.226666666669</v>
      </c>
      <c r="CD67" s="143">
        <f t="shared" si="277"/>
        <v>15.698909183155758</v>
      </c>
      <c r="CF67" s="142">
        <f t="shared" si="278"/>
        <v>48158.906666666669</v>
      </c>
      <c r="CH67" s="231">
        <f t="shared" si="279"/>
        <v>1.234</v>
      </c>
      <c r="CJ67" s="231">
        <f t="shared" si="53"/>
        <v>7404</v>
      </c>
    </row>
    <row r="68" spans="2:88" s="117" customFormat="1" x14ac:dyDescent="0.2">
      <c r="B68" s="135" t="s">
        <v>79</v>
      </c>
      <c r="C68" s="136">
        <v>12</v>
      </c>
      <c r="D68" s="137" t="s">
        <v>69</v>
      </c>
      <c r="F68" s="138">
        <v>719.09721252355575</v>
      </c>
      <c r="G68" s="138">
        <v>350.15</v>
      </c>
      <c r="H68" s="139">
        <v>4</v>
      </c>
      <c r="I68" s="138">
        <v>0</v>
      </c>
      <c r="J68" s="138">
        <v>1400.6</v>
      </c>
      <c r="K68" s="138">
        <v>0</v>
      </c>
      <c r="L68" s="138">
        <v>0</v>
      </c>
      <c r="M68" s="138"/>
      <c r="N68" s="138">
        <v>1400.6</v>
      </c>
      <c r="O68" s="138">
        <v>1400.6</v>
      </c>
      <c r="P68" s="120"/>
      <c r="Q68" s="121">
        <f t="shared" si="234"/>
        <v>0</v>
      </c>
      <c r="R68" s="121">
        <f t="shared" si="235"/>
        <v>0</v>
      </c>
      <c r="S68" s="121">
        <f t="shared" si="236"/>
        <v>29.762750000000004</v>
      </c>
      <c r="T68" s="120"/>
      <c r="U68" s="215">
        <f t="shared" si="237"/>
        <v>0.9</v>
      </c>
      <c r="V68" s="138">
        <f t="shared" si="238"/>
        <v>0</v>
      </c>
      <c r="W68" s="140">
        <v>200</v>
      </c>
      <c r="X68" s="140">
        <f t="shared" si="240"/>
        <v>10</v>
      </c>
      <c r="Y68" s="140">
        <f t="shared" si="240"/>
        <v>30</v>
      </c>
      <c r="Z68" s="108">
        <f t="shared" si="240"/>
        <v>5</v>
      </c>
      <c r="AA68" s="123"/>
      <c r="AB68" s="215">
        <f t="shared" si="241"/>
        <v>0.85</v>
      </c>
      <c r="AC68" s="138">
        <f t="shared" si="242"/>
        <v>1190.51</v>
      </c>
      <c r="AD68" s="140">
        <v>200</v>
      </c>
      <c r="AE68" s="140">
        <f t="shared" si="244"/>
        <v>5</v>
      </c>
      <c r="AF68" s="140">
        <f t="shared" si="244"/>
        <v>35</v>
      </c>
      <c r="AG68" s="108">
        <f t="shared" si="245"/>
        <v>15</v>
      </c>
      <c r="AH68" s="123"/>
      <c r="AI68" s="215">
        <f t="shared" si="246"/>
        <v>0.85</v>
      </c>
      <c r="AJ68" s="138">
        <f t="shared" si="247"/>
        <v>0</v>
      </c>
      <c r="AK68" s="140">
        <v>200</v>
      </c>
      <c r="AL68" s="223">
        <f t="shared" si="249"/>
        <v>7.5</v>
      </c>
      <c r="AM68" s="140">
        <f t="shared" si="249"/>
        <v>50</v>
      </c>
      <c r="AN68" s="124">
        <v>0</v>
      </c>
      <c r="AO68" s="118">
        <v>0</v>
      </c>
      <c r="AP68" s="122">
        <f t="shared" si="226"/>
        <v>15</v>
      </c>
      <c r="AQ68" s="122">
        <f t="shared" si="226"/>
        <v>5</v>
      </c>
      <c r="AR68" s="122">
        <f t="shared" si="226"/>
        <v>20</v>
      </c>
      <c r="AS68" s="108">
        <f t="shared" si="250"/>
        <v>15</v>
      </c>
      <c r="AT68" s="125"/>
      <c r="AU68" s="215">
        <f t="shared" si="251"/>
        <v>1</v>
      </c>
      <c r="AV68" s="138">
        <f t="shared" si="252"/>
        <v>0</v>
      </c>
      <c r="AW68" s="140">
        <f t="shared" si="253"/>
        <v>4</v>
      </c>
      <c r="AX68" s="123"/>
      <c r="AY68" s="141">
        <f t="shared" si="254"/>
        <v>0</v>
      </c>
      <c r="AZ68" s="141">
        <f t="shared" si="255"/>
        <v>238102</v>
      </c>
      <c r="BA68" s="141">
        <f t="shared" si="256"/>
        <v>0</v>
      </c>
      <c r="BB68" s="141">
        <f t="shared" si="257"/>
        <v>0</v>
      </c>
      <c r="BC68" s="141">
        <f t="shared" si="258"/>
        <v>5952.55</v>
      </c>
      <c r="BD68" s="141">
        <f t="shared" si="259"/>
        <v>0</v>
      </c>
      <c r="BE68" s="141">
        <f t="shared" si="260"/>
        <v>0</v>
      </c>
      <c r="BF68" s="141">
        <f t="shared" si="261"/>
        <v>41667.85</v>
      </c>
      <c r="BG68" s="141">
        <f t="shared" si="262"/>
        <v>0</v>
      </c>
      <c r="BH68" s="141">
        <f t="shared" si="263"/>
        <v>0</v>
      </c>
      <c r="BI68" s="110">
        <f t="shared" si="264"/>
        <v>0</v>
      </c>
      <c r="BJ68" s="110">
        <f t="shared" si="265"/>
        <v>17857.650000000001</v>
      </c>
      <c r="BK68" s="110">
        <f t="shared" si="266"/>
        <v>0</v>
      </c>
      <c r="BL68" s="125"/>
      <c r="BM68" s="142">
        <f t="shared" si="267"/>
        <v>238102</v>
      </c>
      <c r="BN68" s="142">
        <f t="shared" si="268"/>
        <v>5952.55</v>
      </c>
      <c r="BO68" s="142">
        <f t="shared" si="269"/>
        <v>41667.85</v>
      </c>
      <c r="BP68" s="111">
        <f t="shared" si="270"/>
        <v>17857.650000000001</v>
      </c>
      <c r="BR68" s="143">
        <f t="shared" si="271"/>
        <v>132.2788888888889</v>
      </c>
      <c r="BS68" s="143">
        <f t="shared" si="272"/>
        <v>1.3590296803652968</v>
      </c>
      <c r="BU68" s="144">
        <f t="shared" si="273"/>
        <v>7.7811111111111106</v>
      </c>
      <c r="BV68" s="144">
        <f t="shared" si="273"/>
        <v>7.7811111111111106</v>
      </c>
      <c r="BW68" s="142">
        <f t="shared" si="274"/>
        <v>14426.179999999998</v>
      </c>
      <c r="BX68" s="143">
        <f t="shared" si="275"/>
        <v>118.27288888888887</v>
      </c>
      <c r="BY68" s="130"/>
      <c r="BZ68" s="142"/>
      <c r="CA68" s="143"/>
      <c r="CB68" s="130"/>
      <c r="CC68" s="142">
        <f t="shared" si="276"/>
        <v>80557.843333333323</v>
      </c>
      <c r="CD68" s="143">
        <f t="shared" si="277"/>
        <v>44.545972856418061</v>
      </c>
      <c r="CF68" s="142">
        <f t="shared" si="278"/>
        <v>136651.87333333332</v>
      </c>
      <c r="CH68" s="231">
        <f t="shared" si="279"/>
        <v>3.5015000000000001</v>
      </c>
      <c r="CJ68" s="231">
        <f t="shared" si="53"/>
        <v>21009</v>
      </c>
    </row>
    <row r="69" spans="2:88" s="117" customFormat="1" x14ac:dyDescent="0.2">
      <c r="B69" s="135" t="s">
        <v>80</v>
      </c>
      <c r="C69" s="136">
        <v>13</v>
      </c>
      <c r="D69" s="137" t="s">
        <v>69</v>
      </c>
      <c r="F69" s="138">
        <v>1388.0845521766996</v>
      </c>
      <c r="G69" s="138">
        <v>675.9</v>
      </c>
      <c r="H69" s="139">
        <v>1</v>
      </c>
      <c r="I69" s="138">
        <v>0</v>
      </c>
      <c r="J69" s="138">
        <v>0</v>
      </c>
      <c r="K69" s="138">
        <v>675.9</v>
      </c>
      <c r="L69" s="138">
        <v>0</v>
      </c>
      <c r="M69" s="138"/>
      <c r="N69" s="138">
        <v>675.9</v>
      </c>
      <c r="O69" s="138">
        <v>675.9</v>
      </c>
      <c r="P69" s="120"/>
      <c r="Q69" s="121">
        <f t="shared" si="234"/>
        <v>0</v>
      </c>
      <c r="R69" s="121">
        <f t="shared" si="235"/>
        <v>0</v>
      </c>
      <c r="S69" s="121">
        <f t="shared" si="236"/>
        <v>9.694940625000001</v>
      </c>
      <c r="T69" s="120"/>
      <c r="U69" s="215">
        <f t="shared" si="237"/>
        <v>0.9</v>
      </c>
      <c r="V69" s="138">
        <f t="shared" si="238"/>
        <v>0</v>
      </c>
      <c r="W69" s="140">
        <v>120</v>
      </c>
      <c r="X69" s="140">
        <f t="shared" si="240"/>
        <v>10</v>
      </c>
      <c r="Y69" s="140">
        <f t="shared" si="240"/>
        <v>30</v>
      </c>
      <c r="Z69" s="108">
        <f t="shared" si="240"/>
        <v>5</v>
      </c>
      <c r="AA69" s="123"/>
      <c r="AB69" s="215">
        <f t="shared" si="241"/>
        <v>0.85</v>
      </c>
      <c r="AC69" s="138">
        <f t="shared" si="242"/>
        <v>0</v>
      </c>
      <c r="AD69" s="140">
        <v>120</v>
      </c>
      <c r="AE69" s="140">
        <f t="shared" si="244"/>
        <v>5</v>
      </c>
      <c r="AF69" s="140">
        <f t="shared" si="244"/>
        <v>35</v>
      </c>
      <c r="AG69" s="108">
        <f t="shared" si="245"/>
        <v>15</v>
      </c>
      <c r="AH69" s="123"/>
      <c r="AI69" s="215">
        <f t="shared" si="246"/>
        <v>0.85</v>
      </c>
      <c r="AJ69" s="138">
        <f t="shared" si="247"/>
        <v>574.51499999999999</v>
      </c>
      <c r="AK69" s="140">
        <v>120</v>
      </c>
      <c r="AL69" s="223">
        <f t="shared" si="249"/>
        <v>7.5</v>
      </c>
      <c r="AM69" s="140">
        <f t="shared" si="249"/>
        <v>50</v>
      </c>
      <c r="AN69" s="124">
        <v>0</v>
      </c>
      <c r="AO69" s="118">
        <v>0</v>
      </c>
      <c r="AP69" s="122">
        <f t="shared" si="226"/>
        <v>15</v>
      </c>
      <c r="AQ69" s="122">
        <f t="shared" si="226"/>
        <v>5</v>
      </c>
      <c r="AR69" s="122">
        <f t="shared" si="226"/>
        <v>20</v>
      </c>
      <c r="AS69" s="108">
        <f t="shared" si="250"/>
        <v>15</v>
      </c>
      <c r="AT69" s="125"/>
      <c r="AU69" s="215">
        <f t="shared" si="251"/>
        <v>1</v>
      </c>
      <c r="AV69" s="138">
        <f t="shared" si="252"/>
        <v>0</v>
      </c>
      <c r="AW69" s="140">
        <f t="shared" si="253"/>
        <v>4</v>
      </c>
      <c r="AX69" s="123"/>
      <c r="AY69" s="141">
        <f t="shared" si="254"/>
        <v>0</v>
      </c>
      <c r="AZ69" s="141">
        <f t="shared" si="255"/>
        <v>0</v>
      </c>
      <c r="BA69" s="141">
        <f t="shared" si="256"/>
        <v>68941.8</v>
      </c>
      <c r="BB69" s="141">
        <f t="shared" si="257"/>
        <v>0</v>
      </c>
      <c r="BC69" s="141">
        <f t="shared" si="258"/>
        <v>0</v>
      </c>
      <c r="BD69" s="141">
        <f t="shared" si="259"/>
        <v>4308.8625000000002</v>
      </c>
      <c r="BE69" s="141">
        <f t="shared" si="260"/>
        <v>0</v>
      </c>
      <c r="BF69" s="141">
        <f t="shared" si="261"/>
        <v>0</v>
      </c>
      <c r="BG69" s="141">
        <f t="shared" si="262"/>
        <v>28725.75</v>
      </c>
      <c r="BH69" s="141">
        <f t="shared" si="263"/>
        <v>0</v>
      </c>
      <c r="BI69" s="110">
        <f t="shared" si="264"/>
        <v>0</v>
      </c>
      <c r="BJ69" s="110">
        <f t="shared" si="265"/>
        <v>0</v>
      </c>
      <c r="BK69" s="110">
        <f t="shared" si="266"/>
        <v>8617.7250000000004</v>
      </c>
      <c r="BL69" s="125"/>
      <c r="BM69" s="142">
        <f t="shared" si="267"/>
        <v>68941.8</v>
      </c>
      <c r="BN69" s="142">
        <f t="shared" si="268"/>
        <v>4308.8625000000002</v>
      </c>
      <c r="BO69" s="142">
        <f t="shared" si="269"/>
        <v>28725.75</v>
      </c>
      <c r="BP69" s="111">
        <f t="shared" si="270"/>
        <v>8617.7250000000004</v>
      </c>
      <c r="BR69" s="143">
        <f t="shared" si="271"/>
        <v>38.301000000000002</v>
      </c>
      <c r="BS69" s="143">
        <f t="shared" si="272"/>
        <v>0.98375856164383568</v>
      </c>
      <c r="BU69" s="144">
        <f t="shared" si="273"/>
        <v>3.7549999999999994</v>
      </c>
      <c r="BV69" s="144">
        <f t="shared" si="273"/>
        <v>3.7549999999999994</v>
      </c>
      <c r="BW69" s="142">
        <f t="shared" si="274"/>
        <v>6961.7699999999986</v>
      </c>
      <c r="BX69" s="143">
        <f t="shared" si="275"/>
        <v>57.075999999999986</v>
      </c>
      <c r="BY69" s="130"/>
      <c r="BZ69" s="142"/>
      <c r="CA69" s="143"/>
      <c r="CB69" s="130"/>
      <c r="CC69" s="142">
        <f t="shared" si="276"/>
        <v>23842.372500000001</v>
      </c>
      <c r="CD69" s="143">
        <f t="shared" si="277"/>
        <v>13.094919520547947</v>
      </c>
      <c r="CF69" s="142">
        <f t="shared" si="278"/>
        <v>59529.892500000002</v>
      </c>
      <c r="CH69" s="231">
        <f t="shared" si="279"/>
        <v>1.6897500000000001</v>
      </c>
      <c r="CJ69" s="231">
        <f t="shared" si="53"/>
        <v>10138.5</v>
      </c>
    </row>
    <row r="70" spans="2:88" x14ac:dyDescent="0.2">
      <c r="B70" s="64"/>
      <c r="C70" s="65">
        <v>14</v>
      </c>
      <c r="D70" s="66"/>
      <c r="F70" s="67">
        <v>1014.5195572944069</v>
      </c>
      <c r="G70" s="67">
        <v>494</v>
      </c>
      <c r="H70" s="69">
        <v>3</v>
      </c>
      <c r="I70" s="68">
        <v>0</v>
      </c>
      <c r="J70" s="67">
        <v>0</v>
      </c>
      <c r="K70" s="68">
        <v>1482</v>
      </c>
      <c r="L70" s="68">
        <v>0</v>
      </c>
      <c r="M70" s="68"/>
      <c r="N70" s="67">
        <v>1482</v>
      </c>
      <c r="O70" s="67">
        <v>1482</v>
      </c>
      <c r="P70" s="70"/>
      <c r="Q70" s="71">
        <f t="shared" si="234"/>
        <v>0</v>
      </c>
      <c r="R70" s="71">
        <f t="shared" si="235"/>
        <v>0</v>
      </c>
      <c r="S70" s="71">
        <f t="shared" si="236"/>
        <v>21.257437500000002</v>
      </c>
      <c r="T70" s="70"/>
      <c r="U70" s="204">
        <f t="shared" si="237"/>
        <v>0.9</v>
      </c>
      <c r="V70" s="68">
        <f t="shared" si="238"/>
        <v>0</v>
      </c>
      <c r="W70" s="73">
        <f t="shared" ref="W70:W72" si="280">$W$12</f>
        <v>22</v>
      </c>
      <c r="X70" s="73">
        <f t="shared" si="240"/>
        <v>10</v>
      </c>
      <c r="Y70" s="73">
        <f t="shared" si="240"/>
        <v>30</v>
      </c>
      <c r="Z70" s="108">
        <f t="shared" si="240"/>
        <v>5</v>
      </c>
      <c r="AA70" s="74"/>
      <c r="AB70" s="204">
        <f t="shared" si="241"/>
        <v>0.85</v>
      </c>
      <c r="AC70" s="68">
        <f t="shared" si="242"/>
        <v>0</v>
      </c>
      <c r="AD70" s="73">
        <f t="shared" ref="AD70:AD72" si="281">$AD$12</f>
        <v>22</v>
      </c>
      <c r="AE70" s="73">
        <f t="shared" si="244"/>
        <v>5</v>
      </c>
      <c r="AF70" s="73">
        <f t="shared" si="244"/>
        <v>35</v>
      </c>
      <c r="AG70" s="108">
        <f t="shared" si="245"/>
        <v>15</v>
      </c>
      <c r="AH70" s="75"/>
      <c r="AI70" s="204">
        <f t="shared" si="246"/>
        <v>0.85</v>
      </c>
      <c r="AJ70" s="68">
        <f t="shared" si="247"/>
        <v>1259.7</v>
      </c>
      <c r="AK70" s="73">
        <f t="shared" ref="AK70:AK72" si="282">$AK$12</f>
        <v>22</v>
      </c>
      <c r="AL70" s="225">
        <f t="shared" si="249"/>
        <v>7.5</v>
      </c>
      <c r="AM70" s="73">
        <f t="shared" si="249"/>
        <v>50</v>
      </c>
      <c r="AN70" s="76">
        <v>0</v>
      </c>
      <c r="AO70" s="68">
        <v>0</v>
      </c>
      <c r="AP70" s="73">
        <f t="shared" si="226"/>
        <v>15</v>
      </c>
      <c r="AQ70" s="73">
        <f t="shared" si="226"/>
        <v>5</v>
      </c>
      <c r="AR70" s="73">
        <f t="shared" si="226"/>
        <v>20</v>
      </c>
      <c r="AS70" s="108">
        <f t="shared" si="250"/>
        <v>15</v>
      </c>
      <c r="AT70" s="84"/>
      <c r="AU70" s="204">
        <f t="shared" si="251"/>
        <v>1</v>
      </c>
      <c r="AV70" s="68">
        <f t="shared" si="252"/>
        <v>0</v>
      </c>
      <c r="AW70" s="73">
        <f t="shared" si="253"/>
        <v>4</v>
      </c>
      <c r="AX70" s="75"/>
      <c r="AY70" s="77">
        <f t="shared" si="254"/>
        <v>0</v>
      </c>
      <c r="AZ70" s="77">
        <f t="shared" si="255"/>
        <v>0</v>
      </c>
      <c r="BA70" s="77">
        <f t="shared" si="256"/>
        <v>27713.4</v>
      </c>
      <c r="BB70" s="77">
        <f t="shared" si="257"/>
        <v>0</v>
      </c>
      <c r="BC70" s="77">
        <f t="shared" si="258"/>
        <v>0</v>
      </c>
      <c r="BD70" s="77">
        <f t="shared" si="259"/>
        <v>9447.75</v>
      </c>
      <c r="BE70" s="77">
        <f t="shared" si="260"/>
        <v>0</v>
      </c>
      <c r="BF70" s="77">
        <f t="shared" si="261"/>
        <v>0</v>
      </c>
      <c r="BG70" s="77">
        <f t="shared" si="262"/>
        <v>62985</v>
      </c>
      <c r="BH70" s="77">
        <f t="shared" si="263"/>
        <v>0</v>
      </c>
      <c r="BI70" s="110">
        <f t="shared" si="264"/>
        <v>0</v>
      </c>
      <c r="BJ70" s="110">
        <f t="shared" si="265"/>
        <v>0</v>
      </c>
      <c r="BK70" s="110">
        <f t="shared" si="266"/>
        <v>18895.5</v>
      </c>
      <c r="BL70" s="84"/>
      <c r="BM70" s="79">
        <f t="shared" si="267"/>
        <v>27713.4</v>
      </c>
      <c r="BN70" s="79">
        <f t="shared" si="268"/>
        <v>9447.75</v>
      </c>
      <c r="BO70" s="79">
        <f t="shared" si="269"/>
        <v>62985</v>
      </c>
      <c r="BP70" s="111">
        <f t="shared" si="270"/>
        <v>18895.5</v>
      </c>
      <c r="BR70" s="80">
        <f t="shared" si="271"/>
        <v>15.396333333333335</v>
      </c>
      <c r="BS70" s="80">
        <f t="shared" si="272"/>
        <v>2.1570205479452054</v>
      </c>
      <c r="BU70" s="81">
        <f t="shared" si="273"/>
        <v>8.2333333333333325</v>
      </c>
      <c r="BV70" s="81">
        <f t="shared" si="273"/>
        <v>8.2333333333333325</v>
      </c>
      <c r="BW70" s="79">
        <f t="shared" si="274"/>
        <v>15264.599999999999</v>
      </c>
      <c r="BX70" s="80">
        <f t="shared" si="275"/>
        <v>125.14666666666665</v>
      </c>
      <c r="BY70" s="82"/>
      <c r="BZ70" s="79"/>
      <c r="CA70" s="80"/>
      <c r="CB70" s="82"/>
      <c r="CC70" s="79">
        <f t="shared" si="276"/>
        <v>11127.350000000002</v>
      </c>
      <c r="CD70" s="80">
        <f t="shared" si="277"/>
        <v>5.8511179604261798</v>
      </c>
      <c r="CF70" s="79">
        <f t="shared" si="278"/>
        <v>89376.950000000012</v>
      </c>
      <c r="CH70" s="233">
        <f t="shared" si="279"/>
        <v>3.7050000000000001</v>
      </c>
      <c r="CJ70" s="233">
        <f t="shared" si="53"/>
        <v>22230</v>
      </c>
    </row>
    <row r="71" spans="2:88" x14ac:dyDescent="0.2">
      <c r="B71" s="64"/>
      <c r="C71" s="65">
        <v>15</v>
      </c>
      <c r="D71" s="66"/>
      <c r="F71" s="67">
        <v>1575.1751021150001</v>
      </c>
      <c r="G71" s="67">
        <v>767</v>
      </c>
      <c r="H71" s="69">
        <v>4</v>
      </c>
      <c r="I71" s="68">
        <v>0</v>
      </c>
      <c r="J71" s="67">
        <v>3068</v>
      </c>
      <c r="K71" s="68">
        <v>0</v>
      </c>
      <c r="L71" s="68">
        <v>0</v>
      </c>
      <c r="M71" s="68"/>
      <c r="N71" s="67">
        <v>3068</v>
      </c>
      <c r="O71" s="67">
        <v>3068</v>
      </c>
      <c r="P71" s="70"/>
      <c r="Q71" s="71">
        <f t="shared" si="234"/>
        <v>0</v>
      </c>
      <c r="R71" s="71">
        <f t="shared" si="235"/>
        <v>0</v>
      </c>
      <c r="S71" s="71">
        <f t="shared" si="236"/>
        <v>65.194999999999993</v>
      </c>
      <c r="T71" s="70"/>
      <c r="U71" s="204">
        <f t="shared" si="237"/>
        <v>0.9</v>
      </c>
      <c r="V71" s="68">
        <f t="shared" si="238"/>
        <v>0</v>
      </c>
      <c r="W71" s="73">
        <f t="shared" si="280"/>
        <v>22</v>
      </c>
      <c r="X71" s="73">
        <f t="shared" si="240"/>
        <v>10</v>
      </c>
      <c r="Y71" s="73">
        <f t="shared" si="240"/>
        <v>30</v>
      </c>
      <c r="Z71" s="108">
        <f t="shared" si="240"/>
        <v>5</v>
      </c>
      <c r="AA71" s="74"/>
      <c r="AB71" s="204">
        <f t="shared" si="241"/>
        <v>0.85</v>
      </c>
      <c r="AC71" s="68">
        <f t="shared" si="242"/>
        <v>2607.7999999999997</v>
      </c>
      <c r="AD71" s="73">
        <f t="shared" si="281"/>
        <v>22</v>
      </c>
      <c r="AE71" s="73">
        <f t="shared" si="244"/>
        <v>5</v>
      </c>
      <c r="AF71" s="73">
        <f t="shared" si="244"/>
        <v>35</v>
      </c>
      <c r="AG71" s="108">
        <f t="shared" si="245"/>
        <v>15</v>
      </c>
      <c r="AH71" s="75"/>
      <c r="AI71" s="204">
        <f t="shared" si="246"/>
        <v>0.85</v>
      </c>
      <c r="AJ71" s="68">
        <f t="shared" si="247"/>
        <v>0</v>
      </c>
      <c r="AK71" s="73">
        <f t="shared" si="282"/>
        <v>22</v>
      </c>
      <c r="AL71" s="225">
        <f t="shared" si="249"/>
        <v>7.5</v>
      </c>
      <c r="AM71" s="73">
        <f t="shared" si="249"/>
        <v>50</v>
      </c>
      <c r="AN71" s="76">
        <v>0</v>
      </c>
      <c r="AO71" s="68">
        <v>0</v>
      </c>
      <c r="AP71" s="73">
        <f t="shared" si="226"/>
        <v>15</v>
      </c>
      <c r="AQ71" s="73">
        <f t="shared" si="226"/>
        <v>5</v>
      </c>
      <c r="AR71" s="73">
        <f t="shared" si="226"/>
        <v>20</v>
      </c>
      <c r="AS71" s="108">
        <f t="shared" si="250"/>
        <v>15</v>
      </c>
      <c r="AT71" s="84"/>
      <c r="AU71" s="204">
        <f t="shared" si="251"/>
        <v>1</v>
      </c>
      <c r="AV71" s="68">
        <f t="shared" si="252"/>
        <v>0</v>
      </c>
      <c r="AW71" s="73">
        <f t="shared" si="253"/>
        <v>4</v>
      </c>
      <c r="AX71" s="75"/>
      <c r="AY71" s="77">
        <f t="shared" si="254"/>
        <v>0</v>
      </c>
      <c r="AZ71" s="77">
        <f t="shared" si="255"/>
        <v>57371.599999999991</v>
      </c>
      <c r="BA71" s="77">
        <f t="shared" si="256"/>
        <v>0</v>
      </c>
      <c r="BB71" s="77">
        <f t="shared" si="257"/>
        <v>0</v>
      </c>
      <c r="BC71" s="77">
        <f t="shared" si="258"/>
        <v>13038.999999999998</v>
      </c>
      <c r="BD71" s="77">
        <f t="shared" si="259"/>
        <v>0</v>
      </c>
      <c r="BE71" s="77">
        <f t="shared" si="260"/>
        <v>0</v>
      </c>
      <c r="BF71" s="77">
        <f t="shared" si="261"/>
        <v>91272.999999999985</v>
      </c>
      <c r="BG71" s="77">
        <f t="shared" si="262"/>
        <v>0</v>
      </c>
      <c r="BH71" s="77">
        <f t="shared" si="263"/>
        <v>0</v>
      </c>
      <c r="BI71" s="110">
        <f t="shared" si="264"/>
        <v>0</v>
      </c>
      <c r="BJ71" s="110">
        <f t="shared" si="265"/>
        <v>39116.999999999993</v>
      </c>
      <c r="BK71" s="110">
        <f t="shared" si="266"/>
        <v>0</v>
      </c>
      <c r="BL71" s="84"/>
      <c r="BM71" s="79">
        <f t="shared" si="267"/>
        <v>57371.599999999991</v>
      </c>
      <c r="BN71" s="79">
        <f t="shared" si="268"/>
        <v>13038.999999999998</v>
      </c>
      <c r="BO71" s="79">
        <f t="shared" si="269"/>
        <v>91272.999999999985</v>
      </c>
      <c r="BP71" s="111">
        <f t="shared" si="270"/>
        <v>39116.999999999993</v>
      </c>
      <c r="BR71" s="80">
        <f t="shared" si="271"/>
        <v>31.873111111111108</v>
      </c>
      <c r="BS71" s="80">
        <f t="shared" si="272"/>
        <v>2.9769406392694058</v>
      </c>
      <c r="BU71" s="81">
        <f t="shared" si="273"/>
        <v>17.044444444444444</v>
      </c>
      <c r="BV71" s="81">
        <f t="shared" si="273"/>
        <v>17.044444444444444</v>
      </c>
      <c r="BW71" s="79">
        <f t="shared" si="274"/>
        <v>31600.399999999998</v>
      </c>
      <c r="BX71" s="80">
        <f t="shared" si="275"/>
        <v>259.07555555555552</v>
      </c>
      <c r="BY71" s="82"/>
      <c r="BZ71" s="79"/>
      <c r="CA71" s="80"/>
      <c r="CB71" s="82"/>
      <c r="CC71" s="79">
        <f t="shared" si="276"/>
        <v>21731.666666666664</v>
      </c>
      <c r="CD71" s="80">
        <f t="shared" si="277"/>
        <v>11.616683916793505</v>
      </c>
      <c r="CF71" s="79">
        <f t="shared" si="278"/>
        <v>144605.06666666665</v>
      </c>
      <c r="CH71" s="233">
        <f t="shared" si="279"/>
        <v>7.67</v>
      </c>
      <c r="CJ71" s="233">
        <f t="shared" si="53"/>
        <v>46020</v>
      </c>
    </row>
    <row r="72" spans="2:88" x14ac:dyDescent="0.2">
      <c r="B72" s="64"/>
      <c r="C72" s="65">
        <v>16</v>
      </c>
      <c r="D72" s="66"/>
      <c r="F72" s="67">
        <v>2949.089239422608</v>
      </c>
      <c r="G72" s="67">
        <v>1436</v>
      </c>
      <c r="H72" s="69">
        <v>4</v>
      </c>
      <c r="I72" s="68">
        <v>0</v>
      </c>
      <c r="J72" s="67">
        <v>5744</v>
      </c>
      <c r="K72" s="68">
        <v>0</v>
      </c>
      <c r="L72" s="68">
        <v>0</v>
      </c>
      <c r="M72" s="68"/>
      <c r="N72" s="67">
        <v>5744</v>
      </c>
      <c r="O72" s="67">
        <v>5744</v>
      </c>
      <c r="P72" s="70"/>
      <c r="Q72" s="71">
        <f t="shared" si="234"/>
        <v>0</v>
      </c>
      <c r="R72" s="71">
        <f t="shared" si="235"/>
        <v>0</v>
      </c>
      <c r="S72" s="71">
        <f t="shared" si="236"/>
        <v>122.06</v>
      </c>
      <c r="T72" s="70"/>
      <c r="U72" s="204">
        <f t="shared" si="237"/>
        <v>0.9</v>
      </c>
      <c r="V72" s="68">
        <f t="shared" si="238"/>
        <v>0</v>
      </c>
      <c r="W72" s="73">
        <f t="shared" si="280"/>
        <v>22</v>
      </c>
      <c r="X72" s="73">
        <f t="shared" si="240"/>
        <v>10</v>
      </c>
      <c r="Y72" s="73">
        <f t="shared" si="240"/>
        <v>30</v>
      </c>
      <c r="Z72" s="108">
        <f t="shared" si="240"/>
        <v>5</v>
      </c>
      <c r="AA72" s="74"/>
      <c r="AB72" s="204">
        <f t="shared" si="241"/>
        <v>0.85</v>
      </c>
      <c r="AC72" s="68">
        <f t="shared" si="242"/>
        <v>4882.3999999999996</v>
      </c>
      <c r="AD72" s="73">
        <f t="shared" si="281"/>
        <v>22</v>
      </c>
      <c r="AE72" s="73">
        <f t="shared" si="244"/>
        <v>5</v>
      </c>
      <c r="AF72" s="73">
        <f t="shared" si="244"/>
        <v>35</v>
      </c>
      <c r="AG72" s="108">
        <f t="shared" si="245"/>
        <v>15</v>
      </c>
      <c r="AH72" s="75"/>
      <c r="AI72" s="204">
        <f t="shared" si="246"/>
        <v>0.85</v>
      </c>
      <c r="AJ72" s="68">
        <f t="shared" si="247"/>
        <v>0</v>
      </c>
      <c r="AK72" s="73">
        <f t="shared" si="282"/>
        <v>22</v>
      </c>
      <c r="AL72" s="225">
        <f t="shared" si="249"/>
        <v>7.5</v>
      </c>
      <c r="AM72" s="73">
        <f t="shared" si="249"/>
        <v>50</v>
      </c>
      <c r="AN72" s="76">
        <v>0</v>
      </c>
      <c r="AO72" s="68">
        <v>0</v>
      </c>
      <c r="AP72" s="73">
        <f t="shared" ref="AP72:AR72" si="283">AP$13</f>
        <v>15</v>
      </c>
      <c r="AQ72" s="73">
        <f t="shared" si="283"/>
        <v>5</v>
      </c>
      <c r="AR72" s="73">
        <f t="shared" si="283"/>
        <v>20</v>
      </c>
      <c r="AS72" s="108">
        <f t="shared" si="250"/>
        <v>15</v>
      </c>
      <c r="AT72" s="84"/>
      <c r="AU72" s="204">
        <f t="shared" si="251"/>
        <v>1</v>
      </c>
      <c r="AV72" s="68">
        <f t="shared" si="252"/>
        <v>0</v>
      </c>
      <c r="AW72" s="73">
        <f t="shared" si="253"/>
        <v>4</v>
      </c>
      <c r="AX72" s="75"/>
      <c r="AY72" s="77">
        <f t="shared" si="254"/>
        <v>0</v>
      </c>
      <c r="AZ72" s="77">
        <f t="shared" si="255"/>
        <v>107412.79999999999</v>
      </c>
      <c r="BA72" s="77">
        <f t="shared" si="256"/>
        <v>0</v>
      </c>
      <c r="BB72" s="77">
        <f t="shared" si="257"/>
        <v>0</v>
      </c>
      <c r="BC72" s="77">
        <f t="shared" si="258"/>
        <v>24412</v>
      </c>
      <c r="BD72" s="77">
        <f t="shared" si="259"/>
        <v>0</v>
      </c>
      <c r="BE72" s="77">
        <f t="shared" si="260"/>
        <v>0</v>
      </c>
      <c r="BF72" s="77">
        <f t="shared" si="261"/>
        <v>170884</v>
      </c>
      <c r="BG72" s="77">
        <f t="shared" si="262"/>
        <v>0</v>
      </c>
      <c r="BH72" s="77">
        <f t="shared" si="263"/>
        <v>0</v>
      </c>
      <c r="BI72" s="110">
        <f t="shared" si="264"/>
        <v>0</v>
      </c>
      <c r="BJ72" s="110">
        <f t="shared" si="265"/>
        <v>73236</v>
      </c>
      <c r="BK72" s="110">
        <f t="shared" si="266"/>
        <v>0</v>
      </c>
      <c r="BL72" s="84"/>
      <c r="BM72" s="79">
        <f t="shared" si="267"/>
        <v>107412.79999999999</v>
      </c>
      <c r="BN72" s="79">
        <f t="shared" si="268"/>
        <v>24412</v>
      </c>
      <c r="BO72" s="79">
        <f t="shared" si="269"/>
        <v>170884</v>
      </c>
      <c r="BP72" s="111">
        <f t="shared" si="270"/>
        <v>73236</v>
      </c>
      <c r="BR72" s="80">
        <f t="shared" si="271"/>
        <v>59.673777777777772</v>
      </c>
      <c r="BS72" s="80">
        <f t="shared" si="272"/>
        <v>5.5735159817351594</v>
      </c>
      <c r="BU72" s="81">
        <f t="shared" si="273"/>
        <v>31.911111111111108</v>
      </c>
      <c r="BV72" s="81">
        <f t="shared" si="273"/>
        <v>31.911111111111108</v>
      </c>
      <c r="BW72" s="79">
        <f t="shared" si="274"/>
        <v>59163.199999999997</v>
      </c>
      <c r="BX72" s="80">
        <f t="shared" si="275"/>
        <v>485.04888888888883</v>
      </c>
      <c r="BY72" s="82"/>
      <c r="BZ72" s="79"/>
      <c r="CA72" s="80"/>
      <c r="CB72" s="82"/>
      <c r="CC72" s="79">
        <f t="shared" si="276"/>
        <v>40686.666666666664</v>
      </c>
      <c r="CD72" s="80">
        <f t="shared" si="277"/>
        <v>21.749097919837645</v>
      </c>
      <c r="CF72" s="79">
        <f t="shared" si="278"/>
        <v>270733.8666666667</v>
      </c>
      <c r="CH72" s="233">
        <f t="shared" si="279"/>
        <v>14.36</v>
      </c>
      <c r="CJ72" s="233">
        <f t="shared" si="53"/>
        <v>86160</v>
      </c>
    </row>
    <row r="73" spans="2:88" x14ac:dyDescent="0.2">
      <c r="B73" s="85"/>
      <c r="C73" s="86"/>
      <c r="D73" s="6"/>
      <c r="F73" s="3"/>
      <c r="G73" s="3"/>
      <c r="H73" s="40"/>
      <c r="I73" s="84"/>
      <c r="J73" s="70"/>
      <c r="K73" s="70"/>
      <c r="L73" s="70"/>
      <c r="M73" s="70"/>
      <c r="N73" s="84"/>
      <c r="O73" s="84"/>
      <c r="P73" s="84"/>
      <c r="Q73" s="87"/>
      <c r="R73" s="88"/>
      <c r="S73" s="88"/>
      <c r="T73" s="84"/>
      <c r="U73" s="205"/>
      <c r="V73" s="84"/>
      <c r="W73" s="75"/>
      <c r="X73" s="75"/>
      <c r="Y73" s="75"/>
      <c r="Z73" s="75"/>
      <c r="AA73" s="74"/>
      <c r="AB73" s="205"/>
      <c r="AC73" s="84"/>
      <c r="AD73" s="78"/>
      <c r="AE73" s="78"/>
      <c r="AF73" s="78"/>
      <c r="AG73" s="78"/>
      <c r="AH73" s="78"/>
      <c r="AI73" s="89"/>
      <c r="AJ73" s="84"/>
      <c r="AK73" s="78"/>
      <c r="AL73" s="222"/>
      <c r="AM73" s="78"/>
      <c r="AN73" s="89"/>
      <c r="AO73" s="84"/>
      <c r="AP73" s="78"/>
      <c r="AQ73" s="78"/>
      <c r="AR73" s="78"/>
      <c r="AS73" s="78"/>
      <c r="AT73" s="78"/>
      <c r="AU73" s="89"/>
      <c r="AV73" s="84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91"/>
      <c r="BN73" s="91"/>
      <c r="BO73" s="91"/>
      <c r="BP73" s="91"/>
      <c r="BR73" s="82"/>
      <c r="BS73" s="82"/>
      <c r="BU73" s="92"/>
      <c r="BV73" s="92"/>
      <c r="BW73" s="91"/>
      <c r="BX73" s="82"/>
      <c r="BY73" s="82"/>
      <c r="BZ73" s="91"/>
      <c r="CA73" s="82"/>
      <c r="CB73" s="82"/>
      <c r="CC73" s="91"/>
      <c r="CD73" s="82"/>
      <c r="CF73" s="91"/>
      <c r="CH73" s="228"/>
      <c r="CJ73" s="228">
        <f t="shared" si="53"/>
        <v>0</v>
      </c>
    </row>
    <row r="74" spans="2:88" x14ac:dyDescent="0.2">
      <c r="B74" s="323" t="s">
        <v>81</v>
      </c>
      <c r="C74" s="323"/>
      <c r="D74" s="323"/>
      <c r="F74" s="94">
        <f>SUM(F75:F82)</f>
        <v>19087</v>
      </c>
      <c r="G74" s="94">
        <f t="shared" ref="G74:L74" si="284">SUM(G75:G82)</f>
        <v>7434.25</v>
      </c>
      <c r="H74" s="94"/>
      <c r="I74" s="94">
        <f t="shared" si="284"/>
        <v>12424.4</v>
      </c>
      <c r="J74" s="94">
        <f t="shared" si="284"/>
        <v>24948.6</v>
      </c>
      <c r="K74" s="94">
        <f t="shared" si="284"/>
        <v>0</v>
      </c>
      <c r="L74" s="94">
        <f t="shared" si="284"/>
        <v>0</v>
      </c>
      <c r="M74" s="94"/>
      <c r="N74" s="94">
        <f>SUM(N75:N82)</f>
        <v>37373</v>
      </c>
      <c r="O74" s="94">
        <f>SUM(O75:O82)</f>
        <v>37373</v>
      </c>
      <c r="P74" s="55"/>
      <c r="Q74" s="96">
        <f>SUM(Q75:Q82)</f>
        <v>246.00312000000002</v>
      </c>
      <c r="R74" s="96">
        <f>SUM(R75:R82)</f>
        <v>111.81960000000001</v>
      </c>
      <c r="S74" s="96">
        <f>SUM(S75:S82)</f>
        <v>530.15775000000008</v>
      </c>
      <c r="T74" s="55"/>
      <c r="U74" s="206"/>
      <c r="V74" s="94">
        <f>SUM(V75:V82)</f>
        <v>11181.96</v>
      </c>
      <c r="W74" s="158"/>
      <c r="X74" s="158"/>
      <c r="Y74" s="158"/>
      <c r="Z74" s="158"/>
      <c r="AA74" s="74"/>
      <c r="AB74" s="206"/>
      <c r="AC74" s="94">
        <f>SUM(AC75:AC82)</f>
        <v>21206.309999999998</v>
      </c>
      <c r="AD74" s="98"/>
      <c r="AE74" s="98"/>
      <c r="AF74" s="98"/>
      <c r="AG74" s="98"/>
      <c r="AH74" s="60"/>
      <c r="AI74" s="159"/>
      <c r="AJ74" s="94">
        <f>SUM(AJ75:AJ82)</f>
        <v>0</v>
      </c>
      <c r="AK74" s="98"/>
      <c r="AL74" s="226"/>
      <c r="AM74" s="98"/>
      <c r="AN74" s="159"/>
      <c r="AO74" s="160">
        <v>0</v>
      </c>
      <c r="AP74" s="98">
        <f t="shared" ref="AP74:AR82" si="285">AP$13</f>
        <v>15</v>
      </c>
      <c r="AQ74" s="98">
        <f t="shared" si="285"/>
        <v>5</v>
      </c>
      <c r="AR74" s="98">
        <f t="shared" si="285"/>
        <v>20</v>
      </c>
      <c r="AS74" s="98"/>
      <c r="AT74" s="78"/>
      <c r="AU74" s="159"/>
      <c r="AV74" s="94">
        <f>SUM(AV75:AV82)</f>
        <v>0</v>
      </c>
      <c r="AW74" s="98"/>
      <c r="AX74" s="60"/>
      <c r="AY74" s="100">
        <f>SUM(AY75:AY82)</f>
        <v>246003.12000000002</v>
      </c>
      <c r="AZ74" s="100">
        <f t="shared" ref="AZ74:BK74" si="286">SUM(AZ75:AZ82)</f>
        <v>466538.81999999995</v>
      </c>
      <c r="BA74" s="100">
        <f t="shared" si="286"/>
        <v>0</v>
      </c>
      <c r="BB74" s="100">
        <f t="shared" si="286"/>
        <v>111819.6</v>
      </c>
      <c r="BC74" s="100">
        <f t="shared" si="286"/>
        <v>144879.1</v>
      </c>
      <c r="BD74" s="100">
        <f t="shared" si="286"/>
        <v>0</v>
      </c>
      <c r="BE74" s="100">
        <f t="shared" si="286"/>
        <v>335458.80000000005</v>
      </c>
      <c r="BF74" s="100">
        <f t="shared" si="286"/>
        <v>1247239</v>
      </c>
      <c r="BG74" s="100">
        <f t="shared" si="286"/>
        <v>0</v>
      </c>
      <c r="BH74" s="100">
        <f t="shared" si="286"/>
        <v>0</v>
      </c>
      <c r="BI74" s="100">
        <f t="shared" si="286"/>
        <v>55909.8</v>
      </c>
      <c r="BJ74" s="100">
        <f t="shared" si="286"/>
        <v>318094.65000000002</v>
      </c>
      <c r="BK74" s="100">
        <f t="shared" si="286"/>
        <v>0</v>
      </c>
      <c r="BL74" s="78"/>
      <c r="BM74" s="100">
        <f>SUM(BM75:BM82)</f>
        <v>712541.94</v>
      </c>
      <c r="BN74" s="100">
        <f t="shared" ref="BN74:BP74" si="287">SUM(BN75:BN82)</f>
        <v>256698.7</v>
      </c>
      <c r="BO74" s="100">
        <f t="shared" si="287"/>
        <v>1582697.8</v>
      </c>
      <c r="BP74" s="100">
        <f t="shared" si="287"/>
        <v>374004.45</v>
      </c>
      <c r="BR74" s="101">
        <f t="shared" ref="BR74:BS74" si="288">SUM(BR75:BR82)</f>
        <v>395.85663333333332</v>
      </c>
      <c r="BS74" s="101">
        <f t="shared" si="288"/>
        <v>58.607009132420096</v>
      </c>
      <c r="BU74" s="98">
        <f t="shared" ref="BU74:BX74" si="289">SUM(BU75:BU82)</f>
        <v>162.08544933333334</v>
      </c>
      <c r="BV74" s="98">
        <f t="shared" si="289"/>
        <v>162.08544933333334</v>
      </c>
      <c r="BW74" s="100">
        <f t="shared" si="289"/>
        <v>300506.42306399997</v>
      </c>
      <c r="BX74" s="101">
        <f t="shared" si="289"/>
        <v>2463.6988298666665</v>
      </c>
      <c r="BY74" s="63"/>
      <c r="BZ74" s="100">
        <f t="shared" ref="BZ74:CA74" si="290">SUM(BZ75:BZ82)</f>
        <v>0</v>
      </c>
      <c r="CA74" s="101">
        <f t="shared" si="290"/>
        <v>0</v>
      </c>
      <c r="CB74" s="63"/>
      <c r="CC74" s="100">
        <f t="shared" ref="CC74:CD74" si="291">SUM(CC75:CC82)</f>
        <v>288853.72000000003</v>
      </c>
      <c r="CD74" s="101">
        <f t="shared" si="291"/>
        <v>151.48788082191783</v>
      </c>
      <c r="CF74" s="100">
        <f t="shared" ref="CF74" si="292">SUM(CF75:CF82)</f>
        <v>2172057.943064</v>
      </c>
      <c r="CH74" s="101">
        <f>SUM(CH75:CH82)</f>
        <v>93.43249999999999</v>
      </c>
      <c r="CJ74" s="101">
        <f t="shared" si="53"/>
        <v>560595</v>
      </c>
    </row>
    <row r="75" spans="2:88" x14ac:dyDescent="0.2">
      <c r="B75" s="102"/>
      <c r="C75" s="103">
        <v>1</v>
      </c>
      <c r="D75" s="198" t="s">
        <v>95</v>
      </c>
      <c r="F75" s="105">
        <v>1454.4554595285335</v>
      </c>
      <c r="G75" s="105">
        <v>566.5</v>
      </c>
      <c r="H75" s="106">
        <v>6</v>
      </c>
      <c r="I75" s="105">
        <v>0</v>
      </c>
      <c r="J75" s="105">
        <v>3399</v>
      </c>
      <c r="K75" s="105">
        <v>0</v>
      </c>
      <c r="L75" s="105">
        <v>0</v>
      </c>
      <c r="M75" s="105"/>
      <c r="N75" s="105">
        <v>3399</v>
      </c>
      <c r="O75" s="105">
        <v>3399</v>
      </c>
      <c r="P75" s="70"/>
      <c r="Q75" s="200">
        <f t="shared" ref="Q75:Q81" si="293">R75*2.2</f>
        <v>0</v>
      </c>
      <c r="R75" s="200">
        <f>V75/100</f>
        <v>0</v>
      </c>
      <c r="S75" s="200">
        <f t="shared" ref="S75:S82" si="294">(AC75*0.675/27)+(AJ75*0.675/40)</f>
        <v>72.228750000000005</v>
      </c>
      <c r="T75" s="70"/>
      <c r="U75" s="203">
        <f t="shared" ref="U75:U82" si="295">$U$12</f>
        <v>0.9</v>
      </c>
      <c r="V75" s="107">
        <f t="shared" ref="V75:V82" si="296">U75*I75</f>
        <v>0</v>
      </c>
      <c r="W75" s="108">
        <f t="shared" ref="W75:W82" si="297">$W$12</f>
        <v>22</v>
      </c>
      <c r="X75" s="108">
        <f t="shared" ref="X75:Z82" si="298">X$12</f>
        <v>10</v>
      </c>
      <c r="Y75" s="108">
        <f t="shared" si="298"/>
        <v>30</v>
      </c>
      <c r="Z75" s="108">
        <f t="shared" si="298"/>
        <v>5</v>
      </c>
      <c r="AA75" s="74"/>
      <c r="AB75" s="203">
        <f t="shared" ref="AB75:AB82" si="299">$AB$12</f>
        <v>0.85</v>
      </c>
      <c r="AC75" s="107">
        <f t="shared" ref="AC75:AC82" si="300">AB75*J75</f>
        <v>2889.15</v>
      </c>
      <c r="AD75" s="108">
        <f t="shared" ref="AD75:AD82" si="301">$AD$12</f>
        <v>22</v>
      </c>
      <c r="AE75" s="108">
        <v>10</v>
      </c>
      <c r="AF75" s="108">
        <v>100</v>
      </c>
      <c r="AG75" s="108">
        <f t="shared" ref="AG75:AG82" si="302">$AG$12</f>
        <v>15</v>
      </c>
      <c r="AH75" s="75"/>
      <c r="AI75" s="203">
        <f t="shared" ref="AI75:AI82" si="303">$AI$12</f>
        <v>0.85</v>
      </c>
      <c r="AJ75" s="107">
        <f t="shared" ref="AJ75:AJ82" si="304">AI75*K75</f>
        <v>0</v>
      </c>
      <c r="AK75" s="108">
        <f t="shared" ref="AK75:AK82" si="305">$AK$12</f>
        <v>22</v>
      </c>
      <c r="AL75" s="219">
        <f t="shared" ref="AL75:AM82" si="306">AL$12</f>
        <v>7.5</v>
      </c>
      <c r="AM75" s="108">
        <f t="shared" si="306"/>
        <v>50</v>
      </c>
      <c r="AN75" s="109">
        <v>0</v>
      </c>
      <c r="AO75" s="107">
        <v>0</v>
      </c>
      <c r="AP75" s="108">
        <f t="shared" si="285"/>
        <v>15</v>
      </c>
      <c r="AQ75" s="108">
        <f t="shared" si="285"/>
        <v>5</v>
      </c>
      <c r="AR75" s="108">
        <f t="shared" si="285"/>
        <v>20</v>
      </c>
      <c r="AS75" s="108">
        <f t="shared" ref="AS75:AS82" si="307">AS$12</f>
        <v>15</v>
      </c>
      <c r="AT75" s="78"/>
      <c r="AU75" s="203">
        <f t="shared" ref="AU75:AU82" si="308">AU$12</f>
        <v>1</v>
      </c>
      <c r="AV75" s="107">
        <f t="shared" ref="AV75:AV82" si="309">AU75*L75</f>
        <v>0</v>
      </c>
      <c r="AW75" s="108">
        <f t="shared" ref="AW75:AW82" si="310">AW$12</f>
        <v>4</v>
      </c>
      <c r="AX75" s="75"/>
      <c r="AY75" s="110">
        <f t="shared" ref="AY75:AY82" si="311">V75*W75</f>
        <v>0</v>
      </c>
      <c r="AZ75" s="110">
        <f t="shared" ref="AZ75:AZ82" si="312">AC75*AD75</f>
        <v>63561.3</v>
      </c>
      <c r="BA75" s="110">
        <f t="shared" ref="BA75:BA82" si="313">AJ75*AK75</f>
        <v>0</v>
      </c>
      <c r="BB75" s="110">
        <f t="shared" ref="BB75:BB82" si="314">V75*X75</f>
        <v>0</v>
      </c>
      <c r="BC75" s="110">
        <f t="shared" ref="BC75:BC82" si="315">AC75*AE75</f>
        <v>28891.5</v>
      </c>
      <c r="BD75" s="110">
        <f t="shared" ref="BD75:BD82" si="316">AJ75*AL75</f>
        <v>0</v>
      </c>
      <c r="BE75" s="110">
        <f t="shared" ref="BE75:BE82" si="317">V75*Y75</f>
        <v>0</v>
      </c>
      <c r="BF75" s="110">
        <f t="shared" ref="BF75:BF82" si="318">AC75*AF75</f>
        <v>288915</v>
      </c>
      <c r="BG75" s="110">
        <f t="shared" ref="BG75:BG82" si="319">+AJ75*AM75</f>
        <v>0</v>
      </c>
      <c r="BH75" s="110">
        <f t="shared" ref="BH75:BH82" si="320">+AV75*AW75</f>
        <v>0</v>
      </c>
      <c r="BI75" s="110">
        <f t="shared" ref="BI75:BI82" si="321">Z75*V75</f>
        <v>0</v>
      </c>
      <c r="BJ75" s="110">
        <f t="shared" ref="BJ75:BJ82" si="322">+AG75*AC75</f>
        <v>43337.25</v>
      </c>
      <c r="BK75" s="110">
        <f t="shared" ref="BK75:BK82" si="323">+AS75*AJ75</f>
        <v>0</v>
      </c>
      <c r="BL75" s="78"/>
      <c r="BM75" s="111">
        <f t="shared" ref="BM75:BM82" si="324">AY75+AZ75+BA75</f>
        <v>63561.3</v>
      </c>
      <c r="BN75" s="111">
        <f t="shared" ref="BN75:BN82" si="325">+BB75+BC75+BD75</f>
        <v>28891.5</v>
      </c>
      <c r="BO75" s="111">
        <f t="shared" ref="BO75:BO82" si="326">+BE75+BF75+BG75+BH75</f>
        <v>288915</v>
      </c>
      <c r="BP75" s="111">
        <f t="shared" ref="BP75:BP82" si="327">SUM(BI75:BK75)</f>
        <v>43337.25</v>
      </c>
      <c r="BR75" s="112">
        <f t="shared" ref="BR75:BR82" si="328">BM75/$BR$6</f>
        <v>35.311833333333333</v>
      </c>
      <c r="BS75" s="112">
        <f t="shared" ref="BS75:BS82" si="329">(BB75+BC75+BD75)/$BS$6</f>
        <v>6.5962328767123291</v>
      </c>
      <c r="BU75" s="113">
        <f t="shared" ref="BU75:BV82" si="330">($BU$3*$R75)+(($J75+$K75)/$BU$5*$BU$7)</f>
        <v>18.883333333333333</v>
      </c>
      <c r="BV75" s="113">
        <f t="shared" si="330"/>
        <v>18.883333333333333</v>
      </c>
      <c r="BW75" s="111">
        <f t="shared" ref="BW75:BW82" si="331">BV75*$BW$3*$BW$6</f>
        <v>35009.699999999997</v>
      </c>
      <c r="BX75" s="112">
        <f t="shared" ref="BX75:BX82" si="332">(BU75*0.3*50+BU75*0.7*22)*$BX$6</f>
        <v>287.02666666666664</v>
      </c>
      <c r="BY75" s="82"/>
      <c r="BZ75" s="111"/>
      <c r="CA75" s="112"/>
      <c r="CB75" s="82"/>
      <c r="CC75" s="111">
        <f t="shared" ref="CC75:CC82" si="333">BM75/$CC$3+(BN75*(1-$CD$3)/$CC$6)</f>
        <v>26965.4</v>
      </c>
      <c r="CD75" s="112">
        <f t="shared" ref="CD75:CD82" si="334">BR75/$CD$6+BS75/$CD$6</f>
        <v>13.969355403348553</v>
      </c>
      <c r="CF75" s="111">
        <f t="shared" ref="CF75:CF82" si="335">BE75+BF75+BG75+BH75+BW75+BZ75+CC75</f>
        <v>350890.10000000003</v>
      </c>
      <c r="CH75" s="229">
        <f t="shared" ref="CH75:CH82" si="336">$CH$6*O75/1000</f>
        <v>8.4975000000000005</v>
      </c>
      <c r="CJ75" s="229">
        <f t="shared" si="53"/>
        <v>50985</v>
      </c>
    </row>
    <row r="76" spans="2:88" x14ac:dyDescent="0.2">
      <c r="B76" s="102"/>
      <c r="C76" s="103">
        <v>2</v>
      </c>
      <c r="D76" s="198" t="s">
        <v>95</v>
      </c>
      <c r="F76" s="105">
        <v>2237.9101523354743</v>
      </c>
      <c r="G76" s="105">
        <v>871.65</v>
      </c>
      <c r="H76" s="106">
        <v>4</v>
      </c>
      <c r="I76" s="105">
        <v>0</v>
      </c>
      <c r="J76" s="105">
        <v>3486.6</v>
      </c>
      <c r="K76" s="105">
        <v>0</v>
      </c>
      <c r="L76" s="105">
        <v>0</v>
      </c>
      <c r="M76" s="105"/>
      <c r="N76" s="105">
        <v>3486.6</v>
      </c>
      <c r="O76" s="105">
        <v>3486.6</v>
      </c>
      <c r="P76" s="70"/>
      <c r="Q76" s="200">
        <f t="shared" si="293"/>
        <v>0</v>
      </c>
      <c r="R76" s="200">
        <f t="shared" ref="R76:R82" si="337">V76/100</f>
        <v>0</v>
      </c>
      <c r="S76" s="200">
        <f t="shared" si="294"/>
        <v>74.090249999999997</v>
      </c>
      <c r="T76" s="70"/>
      <c r="U76" s="203">
        <f t="shared" si="295"/>
        <v>0.9</v>
      </c>
      <c r="V76" s="107">
        <f t="shared" si="296"/>
        <v>0</v>
      </c>
      <c r="W76" s="108">
        <f t="shared" si="297"/>
        <v>22</v>
      </c>
      <c r="X76" s="108">
        <f t="shared" si="298"/>
        <v>10</v>
      </c>
      <c r="Y76" s="108">
        <f t="shared" si="298"/>
        <v>30</v>
      </c>
      <c r="Z76" s="108">
        <f t="shared" si="298"/>
        <v>5</v>
      </c>
      <c r="AA76" s="74"/>
      <c r="AB76" s="203">
        <f t="shared" si="299"/>
        <v>0.85</v>
      </c>
      <c r="AC76" s="107">
        <f t="shared" si="300"/>
        <v>2963.6099999999997</v>
      </c>
      <c r="AD76" s="108">
        <f t="shared" si="301"/>
        <v>22</v>
      </c>
      <c r="AE76" s="108">
        <v>10</v>
      </c>
      <c r="AF76" s="108">
        <v>100</v>
      </c>
      <c r="AG76" s="108">
        <f t="shared" si="302"/>
        <v>15</v>
      </c>
      <c r="AH76" s="75"/>
      <c r="AI76" s="203">
        <f t="shared" si="303"/>
        <v>0.85</v>
      </c>
      <c r="AJ76" s="107">
        <f t="shared" si="304"/>
        <v>0</v>
      </c>
      <c r="AK76" s="108">
        <f t="shared" si="305"/>
        <v>22</v>
      </c>
      <c r="AL76" s="219">
        <f t="shared" si="306"/>
        <v>7.5</v>
      </c>
      <c r="AM76" s="108">
        <f t="shared" si="306"/>
        <v>50</v>
      </c>
      <c r="AN76" s="134">
        <v>0</v>
      </c>
      <c r="AO76" s="107">
        <v>0</v>
      </c>
      <c r="AP76" s="108">
        <f t="shared" si="285"/>
        <v>15</v>
      </c>
      <c r="AQ76" s="108">
        <f t="shared" si="285"/>
        <v>5</v>
      </c>
      <c r="AR76" s="108">
        <f t="shared" si="285"/>
        <v>20</v>
      </c>
      <c r="AS76" s="108">
        <f t="shared" si="307"/>
        <v>15</v>
      </c>
      <c r="AT76" s="84"/>
      <c r="AU76" s="203">
        <f t="shared" si="308"/>
        <v>1</v>
      </c>
      <c r="AV76" s="107">
        <f t="shared" si="309"/>
        <v>0</v>
      </c>
      <c r="AW76" s="108">
        <f t="shared" si="310"/>
        <v>4</v>
      </c>
      <c r="AX76" s="75"/>
      <c r="AY76" s="110">
        <f t="shared" si="311"/>
        <v>0</v>
      </c>
      <c r="AZ76" s="110">
        <f t="shared" si="312"/>
        <v>65199.419999999991</v>
      </c>
      <c r="BA76" s="110">
        <f t="shared" si="313"/>
        <v>0</v>
      </c>
      <c r="BB76" s="110">
        <f t="shared" si="314"/>
        <v>0</v>
      </c>
      <c r="BC76" s="110">
        <f t="shared" si="315"/>
        <v>29636.1</v>
      </c>
      <c r="BD76" s="110">
        <f t="shared" si="316"/>
        <v>0</v>
      </c>
      <c r="BE76" s="110">
        <f t="shared" si="317"/>
        <v>0</v>
      </c>
      <c r="BF76" s="110">
        <f t="shared" si="318"/>
        <v>296360.99999999994</v>
      </c>
      <c r="BG76" s="110">
        <f t="shared" si="319"/>
        <v>0</v>
      </c>
      <c r="BH76" s="110">
        <f t="shared" si="320"/>
        <v>0</v>
      </c>
      <c r="BI76" s="110">
        <f t="shared" si="321"/>
        <v>0</v>
      </c>
      <c r="BJ76" s="110">
        <f t="shared" si="322"/>
        <v>44454.149999999994</v>
      </c>
      <c r="BK76" s="110">
        <f t="shared" si="323"/>
        <v>0</v>
      </c>
      <c r="BL76" s="84"/>
      <c r="BM76" s="111">
        <f t="shared" si="324"/>
        <v>65199.419999999991</v>
      </c>
      <c r="BN76" s="111">
        <f t="shared" si="325"/>
        <v>29636.1</v>
      </c>
      <c r="BO76" s="111">
        <f t="shared" si="326"/>
        <v>296360.99999999994</v>
      </c>
      <c r="BP76" s="111">
        <f t="shared" si="327"/>
        <v>44454.149999999994</v>
      </c>
      <c r="BR76" s="112">
        <f t="shared" si="328"/>
        <v>36.221899999999998</v>
      </c>
      <c r="BS76" s="112">
        <f t="shared" si="329"/>
        <v>6.7662328767123281</v>
      </c>
      <c r="BU76" s="113">
        <f t="shared" si="330"/>
        <v>19.369999999999997</v>
      </c>
      <c r="BV76" s="113">
        <f t="shared" si="330"/>
        <v>19.369999999999997</v>
      </c>
      <c r="BW76" s="111">
        <f t="shared" si="331"/>
        <v>35911.979999999996</v>
      </c>
      <c r="BX76" s="112">
        <f t="shared" si="332"/>
        <v>294.42399999999998</v>
      </c>
      <c r="BY76" s="82"/>
      <c r="BZ76" s="111"/>
      <c r="CA76" s="112"/>
      <c r="CB76" s="82"/>
      <c r="CC76" s="111">
        <f t="shared" si="333"/>
        <v>27660.359999999997</v>
      </c>
      <c r="CD76" s="112">
        <f t="shared" si="334"/>
        <v>14.329377625570775</v>
      </c>
      <c r="CF76" s="111">
        <f t="shared" si="335"/>
        <v>359933.33999999991</v>
      </c>
      <c r="CH76" s="229">
        <f t="shared" si="336"/>
        <v>8.7164999999999999</v>
      </c>
      <c r="CJ76" s="229">
        <f t="shared" si="53"/>
        <v>52299</v>
      </c>
    </row>
    <row r="77" spans="2:88" x14ac:dyDescent="0.2">
      <c r="B77" s="102"/>
      <c r="C77" s="103">
        <v>3</v>
      </c>
      <c r="D77" s="198" t="s">
        <v>95</v>
      </c>
      <c r="F77" s="105">
        <v>1447.3949961327639</v>
      </c>
      <c r="G77" s="105">
        <v>563.75</v>
      </c>
      <c r="H77" s="106">
        <v>4</v>
      </c>
      <c r="I77" s="105">
        <v>0</v>
      </c>
      <c r="J77" s="105">
        <v>2255</v>
      </c>
      <c r="K77" s="105">
        <v>0</v>
      </c>
      <c r="L77" s="105">
        <v>0</v>
      </c>
      <c r="M77" s="105"/>
      <c r="N77" s="105">
        <v>2255</v>
      </c>
      <c r="O77" s="105">
        <v>2255</v>
      </c>
      <c r="P77" s="70"/>
      <c r="Q77" s="200">
        <f t="shared" si="293"/>
        <v>0</v>
      </c>
      <c r="R77" s="200">
        <f t="shared" si="337"/>
        <v>0</v>
      </c>
      <c r="S77" s="200">
        <f t="shared" si="294"/>
        <v>47.918750000000003</v>
      </c>
      <c r="T77" s="70"/>
      <c r="U77" s="203">
        <f t="shared" si="295"/>
        <v>0.9</v>
      </c>
      <c r="V77" s="107">
        <f t="shared" si="296"/>
        <v>0</v>
      </c>
      <c r="W77" s="108">
        <f t="shared" si="297"/>
        <v>22</v>
      </c>
      <c r="X77" s="108">
        <f t="shared" si="298"/>
        <v>10</v>
      </c>
      <c r="Y77" s="108">
        <f t="shared" si="298"/>
        <v>30</v>
      </c>
      <c r="Z77" s="108">
        <f t="shared" si="298"/>
        <v>5</v>
      </c>
      <c r="AA77" s="74"/>
      <c r="AB77" s="203">
        <f t="shared" si="299"/>
        <v>0.85</v>
      </c>
      <c r="AC77" s="107">
        <f t="shared" si="300"/>
        <v>1916.75</v>
      </c>
      <c r="AD77" s="108">
        <f t="shared" si="301"/>
        <v>22</v>
      </c>
      <c r="AE77" s="108">
        <v>10</v>
      </c>
      <c r="AF77" s="108">
        <v>100</v>
      </c>
      <c r="AG77" s="108">
        <f t="shared" si="302"/>
        <v>15</v>
      </c>
      <c r="AH77" s="75"/>
      <c r="AI77" s="203">
        <f t="shared" si="303"/>
        <v>0.85</v>
      </c>
      <c r="AJ77" s="107">
        <f t="shared" si="304"/>
        <v>0</v>
      </c>
      <c r="AK77" s="108">
        <f t="shared" si="305"/>
        <v>22</v>
      </c>
      <c r="AL77" s="219">
        <f t="shared" si="306"/>
        <v>7.5</v>
      </c>
      <c r="AM77" s="108">
        <f t="shared" si="306"/>
        <v>50</v>
      </c>
      <c r="AN77" s="134">
        <v>0</v>
      </c>
      <c r="AO77" s="107">
        <v>0</v>
      </c>
      <c r="AP77" s="108">
        <f t="shared" si="285"/>
        <v>15</v>
      </c>
      <c r="AQ77" s="108">
        <f t="shared" si="285"/>
        <v>5</v>
      </c>
      <c r="AR77" s="108">
        <f t="shared" si="285"/>
        <v>20</v>
      </c>
      <c r="AS77" s="108">
        <f t="shared" si="307"/>
        <v>15</v>
      </c>
      <c r="AT77" s="84"/>
      <c r="AU77" s="203">
        <f t="shared" si="308"/>
        <v>1</v>
      </c>
      <c r="AV77" s="107">
        <f t="shared" si="309"/>
        <v>0</v>
      </c>
      <c r="AW77" s="108">
        <f t="shared" si="310"/>
        <v>4</v>
      </c>
      <c r="AX77" s="75"/>
      <c r="AY77" s="110">
        <f t="shared" si="311"/>
        <v>0</v>
      </c>
      <c r="AZ77" s="110">
        <f t="shared" si="312"/>
        <v>42168.5</v>
      </c>
      <c r="BA77" s="110">
        <f t="shared" si="313"/>
        <v>0</v>
      </c>
      <c r="BB77" s="110">
        <f t="shared" si="314"/>
        <v>0</v>
      </c>
      <c r="BC77" s="110">
        <f t="shared" si="315"/>
        <v>19167.5</v>
      </c>
      <c r="BD77" s="110">
        <f t="shared" si="316"/>
        <v>0</v>
      </c>
      <c r="BE77" s="110">
        <f t="shared" si="317"/>
        <v>0</v>
      </c>
      <c r="BF77" s="110">
        <f t="shared" si="318"/>
        <v>191675</v>
      </c>
      <c r="BG77" s="110">
        <f t="shared" si="319"/>
        <v>0</v>
      </c>
      <c r="BH77" s="110">
        <f t="shared" si="320"/>
        <v>0</v>
      </c>
      <c r="BI77" s="110">
        <f t="shared" si="321"/>
        <v>0</v>
      </c>
      <c r="BJ77" s="110">
        <f t="shared" si="322"/>
        <v>28751.25</v>
      </c>
      <c r="BK77" s="110">
        <f t="shared" si="323"/>
        <v>0</v>
      </c>
      <c r="BL77" s="84"/>
      <c r="BM77" s="111">
        <f t="shared" si="324"/>
        <v>42168.5</v>
      </c>
      <c r="BN77" s="111">
        <f t="shared" si="325"/>
        <v>19167.5</v>
      </c>
      <c r="BO77" s="111">
        <f t="shared" si="326"/>
        <v>191675</v>
      </c>
      <c r="BP77" s="111">
        <f t="shared" si="327"/>
        <v>28751.25</v>
      </c>
      <c r="BR77" s="112">
        <f t="shared" si="328"/>
        <v>23.426944444444445</v>
      </c>
      <c r="BS77" s="112">
        <f t="shared" si="329"/>
        <v>4.3761415525114158</v>
      </c>
      <c r="BU77" s="113">
        <f t="shared" si="330"/>
        <v>12.527777777777777</v>
      </c>
      <c r="BV77" s="113">
        <f t="shared" si="330"/>
        <v>12.527777777777777</v>
      </c>
      <c r="BW77" s="111">
        <f t="shared" si="331"/>
        <v>23226.499999999996</v>
      </c>
      <c r="BX77" s="112">
        <f t="shared" si="332"/>
        <v>190.42222222222222</v>
      </c>
      <c r="BY77" s="82"/>
      <c r="BZ77" s="111"/>
      <c r="CA77" s="112"/>
      <c r="CB77" s="82"/>
      <c r="CC77" s="111">
        <f t="shared" si="333"/>
        <v>17889.666666666664</v>
      </c>
      <c r="CD77" s="112">
        <f t="shared" si="334"/>
        <v>9.2676953323186204</v>
      </c>
      <c r="CF77" s="111">
        <f t="shared" si="335"/>
        <v>232791.16666666666</v>
      </c>
      <c r="CH77" s="229">
        <f t="shared" si="336"/>
        <v>5.6375000000000002</v>
      </c>
      <c r="CJ77" s="229">
        <f t="shared" si="53"/>
        <v>33825</v>
      </c>
    </row>
    <row r="78" spans="2:88" x14ac:dyDescent="0.2">
      <c r="B78" s="102"/>
      <c r="C78" s="103">
        <v>4</v>
      </c>
      <c r="D78" s="104"/>
      <c r="F78" s="105">
        <v>2475.0133503715911</v>
      </c>
      <c r="G78" s="105">
        <v>964</v>
      </c>
      <c r="H78" s="106">
        <v>12</v>
      </c>
      <c r="I78" s="105">
        <v>0</v>
      </c>
      <c r="J78" s="105">
        <v>11568</v>
      </c>
      <c r="K78" s="105">
        <v>0</v>
      </c>
      <c r="L78" s="105">
        <v>0</v>
      </c>
      <c r="M78" s="105"/>
      <c r="N78" s="105">
        <v>11568</v>
      </c>
      <c r="O78" s="105">
        <v>11568</v>
      </c>
      <c r="P78" s="70"/>
      <c r="Q78" s="200">
        <f t="shared" si="293"/>
        <v>0</v>
      </c>
      <c r="R78" s="200">
        <f t="shared" si="337"/>
        <v>0</v>
      </c>
      <c r="S78" s="200">
        <f>(AC78*0.675/27)+(AJ78*0.675/40)</f>
        <v>245.82000000000002</v>
      </c>
      <c r="T78" s="70"/>
      <c r="U78" s="203">
        <f t="shared" si="295"/>
        <v>0.9</v>
      </c>
      <c r="V78" s="107">
        <f t="shared" si="296"/>
        <v>0</v>
      </c>
      <c r="W78" s="108">
        <f t="shared" si="297"/>
        <v>22</v>
      </c>
      <c r="X78" s="108">
        <f t="shared" si="298"/>
        <v>10</v>
      </c>
      <c r="Y78" s="108">
        <f t="shared" si="298"/>
        <v>30</v>
      </c>
      <c r="Z78" s="108">
        <f t="shared" si="298"/>
        <v>5</v>
      </c>
      <c r="AA78" s="74"/>
      <c r="AB78" s="203">
        <f t="shared" si="299"/>
        <v>0.85</v>
      </c>
      <c r="AC78" s="107">
        <f t="shared" si="300"/>
        <v>9832.7999999999993</v>
      </c>
      <c r="AD78" s="108">
        <f t="shared" si="301"/>
        <v>22</v>
      </c>
      <c r="AE78" s="108">
        <f t="shared" ref="AE78:AF82" si="338">AE$12</f>
        <v>5</v>
      </c>
      <c r="AF78" s="108">
        <f t="shared" si="338"/>
        <v>35</v>
      </c>
      <c r="AG78" s="108">
        <f t="shared" si="302"/>
        <v>15</v>
      </c>
      <c r="AH78" s="75"/>
      <c r="AI78" s="203">
        <f t="shared" si="303"/>
        <v>0.85</v>
      </c>
      <c r="AJ78" s="107">
        <f t="shared" si="304"/>
        <v>0</v>
      </c>
      <c r="AK78" s="108">
        <f t="shared" si="305"/>
        <v>22</v>
      </c>
      <c r="AL78" s="219">
        <f t="shared" si="306"/>
        <v>7.5</v>
      </c>
      <c r="AM78" s="108">
        <f t="shared" si="306"/>
        <v>50</v>
      </c>
      <c r="AN78" s="134">
        <v>0</v>
      </c>
      <c r="AO78" s="107">
        <v>0</v>
      </c>
      <c r="AP78" s="108">
        <f t="shared" si="285"/>
        <v>15</v>
      </c>
      <c r="AQ78" s="108">
        <f t="shared" si="285"/>
        <v>5</v>
      </c>
      <c r="AR78" s="108">
        <f t="shared" si="285"/>
        <v>20</v>
      </c>
      <c r="AS78" s="108">
        <f t="shared" si="307"/>
        <v>15</v>
      </c>
      <c r="AT78" s="84"/>
      <c r="AU78" s="203">
        <f t="shared" si="308"/>
        <v>1</v>
      </c>
      <c r="AV78" s="107">
        <f t="shared" si="309"/>
        <v>0</v>
      </c>
      <c r="AW78" s="108">
        <f t="shared" si="310"/>
        <v>4</v>
      </c>
      <c r="AX78" s="75"/>
      <c r="AY78" s="110">
        <f t="shared" si="311"/>
        <v>0</v>
      </c>
      <c r="AZ78" s="110">
        <f t="shared" si="312"/>
        <v>216321.59999999998</v>
      </c>
      <c r="BA78" s="110">
        <f t="shared" si="313"/>
        <v>0</v>
      </c>
      <c r="BB78" s="110">
        <f t="shared" si="314"/>
        <v>0</v>
      </c>
      <c r="BC78" s="110">
        <f t="shared" si="315"/>
        <v>49164</v>
      </c>
      <c r="BD78" s="110">
        <f t="shared" si="316"/>
        <v>0</v>
      </c>
      <c r="BE78" s="110">
        <f t="shared" si="317"/>
        <v>0</v>
      </c>
      <c r="BF78" s="110">
        <f t="shared" si="318"/>
        <v>344148</v>
      </c>
      <c r="BG78" s="110">
        <f t="shared" si="319"/>
        <v>0</v>
      </c>
      <c r="BH78" s="110">
        <f t="shared" si="320"/>
        <v>0</v>
      </c>
      <c r="BI78" s="110">
        <f t="shared" si="321"/>
        <v>0</v>
      </c>
      <c r="BJ78" s="110">
        <f t="shared" si="322"/>
        <v>147492</v>
      </c>
      <c r="BK78" s="110">
        <f t="shared" si="323"/>
        <v>0</v>
      </c>
      <c r="BL78" s="84"/>
      <c r="BM78" s="111">
        <f t="shared" si="324"/>
        <v>216321.59999999998</v>
      </c>
      <c r="BN78" s="111">
        <f t="shared" si="325"/>
        <v>49164</v>
      </c>
      <c r="BO78" s="111">
        <f t="shared" si="326"/>
        <v>344148</v>
      </c>
      <c r="BP78" s="111">
        <f t="shared" si="327"/>
        <v>147492</v>
      </c>
      <c r="BR78" s="112">
        <f t="shared" si="328"/>
        <v>120.17866666666666</v>
      </c>
      <c r="BS78" s="112">
        <f t="shared" si="329"/>
        <v>11.224657534246575</v>
      </c>
      <c r="BU78" s="113">
        <f t="shared" si="330"/>
        <v>64.266666666666666</v>
      </c>
      <c r="BV78" s="113">
        <f t="shared" si="330"/>
        <v>64.266666666666666</v>
      </c>
      <c r="BW78" s="111">
        <f t="shared" si="331"/>
        <v>119150.39999999999</v>
      </c>
      <c r="BX78" s="112">
        <f t="shared" si="332"/>
        <v>976.85333333333324</v>
      </c>
      <c r="BY78" s="82"/>
      <c r="BZ78" s="111"/>
      <c r="CA78" s="112"/>
      <c r="CB78" s="82"/>
      <c r="CC78" s="111">
        <f t="shared" si="333"/>
        <v>81940</v>
      </c>
      <c r="CD78" s="112">
        <f t="shared" si="334"/>
        <v>43.801108066971082</v>
      </c>
      <c r="CF78" s="111">
        <f t="shared" si="335"/>
        <v>545238.4</v>
      </c>
      <c r="CH78" s="229">
        <f t="shared" si="336"/>
        <v>28.92</v>
      </c>
      <c r="CJ78" s="229">
        <f t="shared" si="53"/>
        <v>173520</v>
      </c>
    </row>
    <row r="79" spans="2:88" x14ac:dyDescent="0.2">
      <c r="B79" s="102"/>
      <c r="C79" s="103">
        <v>5</v>
      </c>
      <c r="D79" s="104"/>
      <c r="F79" s="105">
        <v>2178.2171436257859</v>
      </c>
      <c r="G79" s="105">
        <v>848.4</v>
      </c>
      <c r="H79" s="106">
        <v>4</v>
      </c>
      <c r="I79" s="105">
        <v>3393.6</v>
      </c>
      <c r="J79" s="105">
        <v>0</v>
      </c>
      <c r="K79" s="105">
        <v>0</v>
      </c>
      <c r="L79" s="105">
        <v>0</v>
      </c>
      <c r="M79" s="105"/>
      <c r="N79" s="105">
        <v>3393.6</v>
      </c>
      <c r="O79" s="105">
        <v>3393.6</v>
      </c>
      <c r="P79" s="70"/>
      <c r="Q79" s="200">
        <f t="shared" si="293"/>
        <v>67.193280000000001</v>
      </c>
      <c r="R79" s="200">
        <f t="shared" si="337"/>
        <v>30.542399999999997</v>
      </c>
      <c r="S79" s="200">
        <f t="shared" si="294"/>
        <v>0</v>
      </c>
      <c r="T79" s="70"/>
      <c r="U79" s="203">
        <f t="shared" si="295"/>
        <v>0.9</v>
      </c>
      <c r="V79" s="107">
        <f t="shared" si="296"/>
        <v>3054.24</v>
      </c>
      <c r="W79" s="108">
        <f t="shared" si="297"/>
        <v>22</v>
      </c>
      <c r="X79" s="108">
        <f t="shared" si="298"/>
        <v>10</v>
      </c>
      <c r="Y79" s="108">
        <f t="shared" si="298"/>
        <v>30</v>
      </c>
      <c r="Z79" s="108">
        <f t="shared" si="298"/>
        <v>5</v>
      </c>
      <c r="AA79" s="74"/>
      <c r="AB79" s="203">
        <f t="shared" si="299"/>
        <v>0.85</v>
      </c>
      <c r="AC79" s="107">
        <f t="shared" si="300"/>
        <v>0</v>
      </c>
      <c r="AD79" s="108">
        <f t="shared" si="301"/>
        <v>22</v>
      </c>
      <c r="AE79" s="108">
        <f t="shared" si="338"/>
        <v>5</v>
      </c>
      <c r="AF79" s="108">
        <f t="shared" si="338"/>
        <v>35</v>
      </c>
      <c r="AG79" s="108">
        <f t="shared" si="302"/>
        <v>15</v>
      </c>
      <c r="AH79" s="75"/>
      <c r="AI79" s="203">
        <f t="shared" si="303"/>
        <v>0.85</v>
      </c>
      <c r="AJ79" s="107">
        <f t="shared" si="304"/>
        <v>0</v>
      </c>
      <c r="AK79" s="108">
        <f t="shared" si="305"/>
        <v>22</v>
      </c>
      <c r="AL79" s="219">
        <f t="shared" si="306"/>
        <v>7.5</v>
      </c>
      <c r="AM79" s="108">
        <f t="shared" si="306"/>
        <v>50</v>
      </c>
      <c r="AN79" s="134">
        <v>0</v>
      </c>
      <c r="AO79" s="107">
        <v>0</v>
      </c>
      <c r="AP79" s="108">
        <f t="shared" si="285"/>
        <v>15</v>
      </c>
      <c r="AQ79" s="108">
        <f t="shared" si="285"/>
        <v>5</v>
      </c>
      <c r="AR79" s="108">
        <f t="shared" si="285"/>
        <v>20</v>
      </c>
      <c r="AS79" s="108">
        <f t="shared" si="307"/>
        <v>15</v>
      </c>
      <c r="AT79" s="84"/>
      <c r="AU79" s="203">
        <f t="shared" si="308"/>
        <v>1</v>
      </c>
      <c r="AV79" s="107">
        <f t="shared" si="309"/>
        <v>0</v>
      </c>
      <c r="AW79" s="108">
        <f t="shared" si="310"/>
        <v>4</v>
      </c>
      <c r="AX79" s="75"/>
      <c r="AY79" s="110">
        <f t="shared" si="311"/>
        <v>67193.279999999999</v>
      </c>
      <c r="AZ79" s="110">
        <f t="shared" si="312"/>
        <v>0</v>
      </c>
      <c r="BA79" s="110">
        <f t="shared" si="313"/>
        <v>0</v>
      </c>
      <c r="BB79" s="110">
        <f t="shared" si="314"/>
        <v>30542.399999999998</v>
      </c>
      <c r="BC79" s="110">
        <f t="shared" si="315"/>
        <v>0</v>
      </c>
      <c r="BD79" s="110">
        <f t="shared" si="316"/>
        <v>0</v>
      </c>
      <c r="BE79" s="110">
        <f t="shared" si="317"/>
        <v>91627.199999999997</v>
      </c>
      <c r="BF79" s="110">
        <f t="shared" si="318"/>
        <v>0</v>
      </c>
      <c r="BG79" s="110">
        <f t="shared" si="319"/>
        <v>0</v>
      </c>
      <c r="BH79" s="110">
        <f t="shared" si="320"/>
        <v>0</v>
      </c>
      <c r="BI79" s="110">
        <f t="shared" si="321"/>
        <v>15271.199999999999</v>
      </c>
      <c r="BJ79" s="110">
        <f t="shared" si="322"/>
        <v>0</v>
      </c>
      <c r="BK79" s="110">
        <f t="shared" si="323"/>
        <v>0</v>
      </c>
      <c r="BL79" s="84"/>
      <c r="BM79" s="111">
        <f t="shared" si="324"/>
        <v>67193.279999999999</v>
      </c>
      <c r="BN79" s="111">
        <f t="shared" si="325"/>
        <v>30542.399999999998</v>
      </c>
      <c r="BO79" s="111">
        <f t="shared" si="326"/>
        <v>91627.199999999997</v>
      </c>
      <c r="BP79" s="111">
        <f t="shared" si="327"/>
        <v>15271.199999999999</v>
      </c>
      <c r="BR79" s="112">
        <f t="shared" si="328"/>
        <v>37.329599999999999</v>
      </c>
      <c r="BS79" s="112">
        <f t="shared" si="329"/>
        <v>6.9731506849315066</v>
      </c>
      <c r="BU79" s="113">
        <f t="shared" si="330"/>
        <v>6.4139039999999987</v>
      </c>
      <c r="BV79" s="113">
        <f t="shared" si="330"/>
        <v>6.4139039999999987</v>
      </c>
      <c r="BW79" s="111">
        <f t="shared" si="331"/>
        <v>11891.378015999999</v>
      </c>
      <c r="BX79" s="112">
        <f t="shared" si="332"/>
        <v>97.491340799999975</v>
      </c>
      <c r="BY79" s="82"/>
      <c r="BZ79" s="111"/>
      <c r="CA79" s="112"/>
      <c r="CB79" s="82"/>
      <c r="CC79" s="111">
        <f t="shared" si="333"/>
        <v>28506.239999999998</v>
      </c>
      <c r="CD79" s="112">
        <f t="shared" si="334"/>
        <v>14.767583561643836</v>
      </c>
      <c r="CF79" s="111">
        <f t="shared" si="335"/>
        <v>132024.818016</v>
      </c>
      <c r="CH79" s="229">
        <f t="shared" si="336"/>
        <v>8.484</v>
      </c>
      <c r="CJ79" s="229">
        <f t="shared" si="53"/>
        <v>50904</v>
      </c>
    </row>
    <row r="80" spans="2:88" x14ac:dyDescent="0.2">
      <c r="B80" s="102"/>
      <c r="C80" s="103">
        <v>6</v>
      </c>
      <c r="D80" s="104"/>
      <c r="F80" s="105">
        <v>1835.5921108383498</v>
      </c>
      <c r="G80" s="105">
        <v>714.95</v>
      </c>
      <c r="H80" s="106">
        <v>4</v>
      </c>
      <c r="I80" s="105">
        <v>2859.8</v>
      </c>
      <c r="J80" s="105">
        <v>0</v>
      </c>
      <c r="K80" s="105">
        <v>0</v>
      </c>
      <c r="L80" s="105">
        <v>0</v>
      </c>
      <c r="M80" s="105"/>
      <c r="N80" s="105">
        <v>2859.8</v>
      </c>
      <c r="O80" s="105">
        <v>2859.8</v>
      </c>
      <c r="P80" s="70"/>
      <c r="Q80" s="200">
        <f t="shared" si="293"/>
        <v>56.624040000000008</v>
      </c>
      <c r="R80" s="200">
        <f t="shared" si="337"/>
        <v>25.738200000000003</v>
      </c>
      <c r="S80" s="200">
        <f t="shared" si="294"/>
        <v>0</v>
      </c>
      <c r="T80" s="70"/>
      <c r="U80" s="203">
        <f t="shared" si="295"/>
        <v>0.9</v>
      </c>
      <c r="V80" s="107">
        <f t="shared" si="296"/>
        <v>2573.8200000000002</v>
      </c>
      <c r="W80" s="108">
        <f t="shared" si="297"/>
        <v>22</v>
      </c>
      <c r="X80" s="108">
        <f t="shared" si="298"/>
        <v>10</v>
      </c>
      <c r="Y80" s="108">
        <f t="shared" si="298"/>
        <v>30</v>
      </c>
      <c r="Z80" s="108">
        <f t="shared" si="298"/>
        <v>5</v>
      </c>
      <c r="AA80" s="74"/>
      <c r="AB80" s="203">
        <f t="shared" si="299"/>
        <v>0.85</v>
      </c>
      <c r="AC80" s="107">
        <f t="shared" si="300"/>
        <v>0</v>
      </c>
      <c r="AD80" s="108">
        <f t="shared" si="301"/>
        <v>22</v>
      </c>
      <c r="AE80" s="108">
        <f t="shared" si="338"/>
        <v>5</v>
      </c>
      <c r="AF80" s="108">
        <f t="shared" si="338"/>
        <v>35</v>
      </c>
      <c r="AG80" s="108">
        <f t="shared" si="302"/>
        <v>15</v>
      </c>
      <c r="AH80" s="75"/>
      <c r="AI80" s="203">
        <f t="shared" si="303"/>
        <v>0.85</v>
      </c>
      <c r="AJ80" s="107">
        <f t="shared" si="304"/>
        <v>0</v>
      </c>
      <c r="AK80" s="108">
        <f t="shared" si="305"/>
        <v>22</v>
      </c>
      <c r="AL80" s="219">
        <f t="shared" si="306"/>
        <v>7.5</v>
      </c>
      <c r="AM80" s="108">
        <f t="shared" si="306"/>
        <v>50</v>
      </c>
      <c r="AN80" s="134">
        <v>0</v>
      </c>
      <c r="AO80" s="107">
        <v>0</v>
      </c>
      <c r="AP80" s="108">
        <f t="shared" si="285"/>
        <v>15</v>
      </c>
      <c r="AQ80" s="108">
        <f t="shared" si="285"/>
        <v>5</v>
      </c>
      <c r="AR80" s="108">
        <f t="shared" si="285"/>
        <v>20</v>
      </c>
      <c r="AS80" s="108">
        <f t="shared" si="307"/>
        <v>15</v>
      </c>
      <c r="AT80" s="84"/>
      <c r="AU80" s="203">
        <f t="shared" si="308"/>
        <v>1</v>
      </c>
      <c r="AV80" s="107">
        <f t="shared" si="309"/>
        <v>0</v>
      </c>
      <c r="AW80" s="108">
        <f t="shared" si="310"/>
        <v>4</v>
      </c>
      <c r="AX80" s="75"/>
      <c r="AY80" s="110">
        <f t="shared" si="311"/>
        <v>56624.04</v>
      </c>
      <c r="AZ80" s="110">
        <f t="shared" si="312"/>
        <v>0</v>
      </c>
      <c r="BA80" s="110">
        <f t="shared" si="313"/>
        <v>0</v>
      </c>
      <c r="BB80" s="110">
        <f t="shared" si="314"/>
        <v>25738.2</v>
      </c>
      <c r="BC80" s="110">
        <f t="shared" si="315"/>
        <v>0</v>
      </c>
      <c r="BD80" s="110">
        <f t="shared" si="316"/>
        <v>0</v>
      </c>
      <c r="BE80" s="110">
        <f t="shared" si="317"/>
        <v>77214.600000000006</v>
      </c>
      <c r="BF80" s="110">
        <f t="shared" si="318"/>
        <v>0</v>
      </c>
      <c r="BG80" s="110">
        <f t="shared" si="319"/>
        <v>0</v>
      </c>
      <c r="BH80" s="110">
        <f t="shared" si="320"/>
        <v>0</v>
      </c>
      <c r="BI80" s="110">
        <f t="shared" si="321"/>
        <v>12869.1</v>
      </c>
      <c r="BJ80" s="110">
        <f t="shared" si="322"/>
        <v>0</v>
      </c>
      <c r="BK80" s="110">
        <f t="shared" si="323"/>
        <v>0</v>
      </c>
      <c r="BL80" s="84"/>
      <c r="BM80" s="111">
        <f t="shared" si="324"/>
        <v>56624.04</v>
      </c>
      <c r="BN80" s="111">
        <f t="shared" si="325"/>
        <v>25738.2</v>
      </c>
      <c r="BO80" s="111">
        <f t="shared" si="326"/>
        <v>77214.600000000006</v>
      </c>
      <c r="BP80" s="111">
        <f t="shared" si="327"/>
        <v>12869.1</v>
      </c>
      <c r="BR80" s="112">
        <f t="shared" si="328"/>
        <v>31.457799999999999</v>
      </c>
      <c r="BS80" s="112">
        <f t="shared" si="329"/>
        <v>5.8763013698630138</v>
      </c>
      <c r="BU80" s="113">
        <f t="shared" si="330"/>
        <v>5.4050220000000007</v>
      </c>
      <c r="BV80" s="113">
        <f t="shared" si="330"/>
        <v>5.4050220000000007</v>
      </c>
      <c r="BW80" s="111">
        <f t="shared" si="331"/>
        <v>10020.910788000001</v>
      </c>
      <c r="BX80" s="112">
        <f t="shared" si="332"/>
        <v>82.156334400000006</v>
      </c>
      <c r="BY80" s="82"/>
      <c r="BZ80" s="111"/>
      <c r="CA80" s="112"/>
      <c r="CB80" s="82"/>
      <c r="CC80" s="111">
        <f t="shared" si="333"/>
        <v>24022.32</v>
      </c>
      <c r="CD80" s="112">
        <f t="shared" si="334"/>
        <v>12.444700456621005</v>
      </c>
      <c r="CF80" s="111">
        <f t="shared" si="335"/>
        <v>111257.83078800002</v>
      </c>
      <c r="CH80" s="229">
        <f t="shared" si="336"/>
        <v>7.1494999999999997</v>
      </c>
      <c r="CJ80" s="229">
        <f t="shared" si="53"/>
        <v>42897</v>
      </c>
    </row>
    <row r="81" spans="2:88" x14ac:dyDescent="0.2">
      <c r="B81" s="102"/>
      <c r="C81" s="103">
        <v>7</v>
      </c>
      <c r="D81" s="104"/>
      <c r="F81" s="105">
        <v>2177.190167131856</v>
      </c>
      <c r="G81" s="105">
        <v>848</v>
      </c>
      <c r="H81" s="106">
        <v>5</v>
      </c>
      <c r="I81" s="105">
        <v>0</v>
      </c>
      <c r="J81" s="105">
        <v>4240</v>
      </c>
      <c r="K81" s="105">
        <v>0</v>
      </c>
      <c r="L81" s="105">
        <v>0</v>
      </c>
      <c r="M81" s="105"/>
      <c r="N81" s="105">
        <v>4240</v>
      </c>
      <c r="O81" s="105">
        <v>4240</v>
      </c>
      <c r="P81" s="70"/>
      <c r="Q81" s="200">
        <f t="shared" si="293"/>
        <v>0</v>
      </c>
      <c r="R81" s="200">
        <f t="shared" si="337"/>
        <v>0</v>
      </c>
      <c r="S81" s="200">
        <f t="shared" si="294"/>
        <v>90.100000000000009</v>
      </c>
      <c r="T81" s="70"/>
      <c r="U81" s="203">
        <f t="shared" si="295"/>
        <v>0.9</v>
      </c>
      <c r="V81" s="107">
        <f t="shared" si="296"/>
        <v>0</v>
      </c>
      <c r="W81" s="108">
        <f t="shared" si="297"/>
        <v>22</v>
      </c>
      <c r="X81" s="108">
        <f t="shared" si="298"/>
        <v>10</v>
      </c>
      <c r="Y81" s="108">
        <f t="shared" si="298"/>
        <v>30</v>
      </c>
      <c r="Z81" s="108">
        <f t="shared" si="298"/>
        <v>5</v>
      </c>
      <c r="AA81" s="74"/>
      <c r="AB81" s="203">
        <f t="shared" si="299"/>
        <v>0.85</v>
      </c>
      <c r="AC81" s="107">
        <f t="shared" si="300"/>
        <v>3604</v>
      </c>
      <c r="AD81" s="108">
        <f t="shared" si="301"/>
        <v>22</v>
      </c>
      <c r="AE81" s="108">
        <f t="shared" si="338"/>
        <v>5</v>
      </c>
      <c r="AF81" s="108">
        <f t="shared" si="338"/>
        <v>35</v>
      </c>
      <c r="AG81" s="108">
        <f t="shared" si="302"/>
        <v>15</v>
      </c>
      <c r="AH81" s="75"/>
      <c r="AI81" s="203">
        <f t="shared" si="303"/>
        <v>0.85</v>
      </c>
      <c r="AJ81" s="107">
        <f t="shared" si="304"/>
        <v>0</v>
      </c>
      <c r="AK81" s="108">
        <f t="shared" si="305"/>
        <v>22</v>
      </c>
      <c r="AL81" s="219">
        <f t="shared" si="306"/>
        <v>7.5</v>
      </c>
      <c r="AM81" s="108">
        <f t="shared" si="306"/>
        <v>50</v>
      </c>
      <c r="AN81" s="134">
        <v>0</v>
      </c>
      <c r="AO81" s="107">
        <v>0</v>
      </c>
      <c r="AP81" s="108">
        <f t="shared" si="285"/>
        <v>15</v>
      </c>
      <c r="AQ81" s="108">
        <f t="shared" si="285"/>
        <v>5</v>
      </c>
      <c r="AR81" s="108">
        <f t="shared" si="285"/>
        <v>20</v>
      </c>
      <c r="AS81" s="108">
        <f t="shared" si="307"/>
        <v>15</v>
      </c>
      <c r="AT81" s="84"/>
      <c r="AU81" s="203">
        <f t="shared" si="308"/>
        <v>1</v>
      </c>
      <c r="AV81" s="107">
        <f t="shared" si="309"/>
        <v>0</v>
      </c>
      <c r="AW81" s="108">
        <f t="shared" si="310"/>
        <v>4</v>
      </c>
      <c r="AX81" s="75"/>
      <c r="AY81" s="110">
        <f t="shared" si="311"/>
        <v>0</v>
      </c>
      <c r="AZ81" s="110">
        <f t="shared" si="312"/>
        <v>79288</v>
      </c>
      <c r="BA81" s="110">
        <f t="shared" si="313"/>
        <v>0</v>
      </c>
      <c r="BB81" s="110">
        <f t="shared" si="314"/>
        <v>0</v>
      </c>
      <c r="BC81" s="110">
        <f t="shared" si="315"/>
        <v>18020</v>
      </c>
      <c r="BD81" s="110">
        <f t="shared" si="316"/>
        <v>0</v>
      </c>
      <c r="BE81" s="110">
        <f t="shared" si="317"/>
        <v>0</v>
      </c>
      <c r="BF81" s="110">
        <f t="shared" si="318"/>
        <v>126140</v>
      </c>
      <c r="BG81" s="110">
        <f t="shared" si="319"/>
        <v>0</v>
      </c>
      <c r="BH81" s="110">
        <f t="shared" si="320"/>
        <v>0</v>
      </c>
      <c r="BI81" s="110">
        <f t="shared" si="321"/>
        <v>0</v>
      </c>
      <c r="BJ81" s="110">
        <f t="shared" si="322"/>
        <v>54060</v>
      </c>
      <c r="BK81" s="110">
        <f t="shared" si="323"/>
        <v>0</v>
      </c>
      <c r="BL81" s="84"/>
      <c r="BM81" s="111">
        <f t="shared" si="324"/>
        <v>79288</v>
      </c>
      <c r="BN81" s="111">
        <f t="shared" si="325"/>
        <v>18020</v>
      </c>
      <c r="BO81" s="111">
        <f t="shared" si="326"/>
        <v>126140</v>
      </c>
      <c r="BP81" s="111">
        <f t="shared" si="327"/>
        <v>54060</v>
      </c>
      <c r="BR81" s="112">
        <f t="shared" si="328"/>
        <v>44.048888888888889</v>
      </c>
      <c r="BS81" s="112">
        <f t="shared" si="329"/>
        <v>4.1141552511415522</v>
      </c>
      <c r="BU81" s="113">
        <f t="shared" si="330"/>
        <v>23.555555555555554</v>
      </c>
      <c r="BV81" s="113">
        <f t="shared" si="330"/>
        <v>23.555555555555554</v>
      </c>
      <c r="BW81" s="111">
        <f t="shared" si="331"/>
        <v>43671.999999999993</v>
      </c>
      <c r="BX81" s="112">
        <f t="shared" si="332"/>
        <v>358.04444444444437</v>
      </c>
      <c r="BY81" s="82"/>
      <c r="BZ81" s="111"/>
      <c r="CA81" s="112"/>
      <c r="CB81" s="82"/>
      <c r="CC81" s="111">
        <f t="shared" si="333"/>
        <v>30033.333333333332</v>
      </c>
      <c r="CD81" s="112">
        <f t="shared" si="334"/>
        <v>16.054348046676814</v>
      </c>
      <c r="CF81" s="111">
        <f t="shared" si="335"/>
        <v>199845.33333333334</v>
      </c>
      <c r="CH81" s="229">
        <f t="shared" si="336"/>
        <v>10.6</v>
      </c>
      <c r="CJ81" s="229">
        <f t="shared" si="53"/>
        <v>63600</v>
      </c>
    </row>
    <row r="82" spans="2:88" x14ac:dyDescent="0.2">
      <c r="B82" s="102"/>
      <c r="C82" s="103">
        <v>8</v>
      </c>
      <c r="D82" s="104"/>
      <c r="F82" s="105">
        <v>5281.2266200356462</v>
      </c>
      <c r="G82" s="105">
        <v>2057</v>
      </c>
      <c r="H82" s="106">
        <v>3</v>
      </c>
      <c r="I82" s="105">
        <v>6171</v>
      </c>
      <c r="J82" s="105">
        <v>0</v>
      </c>
      <c r="K82" s="105">
        <v>0</v>
      </c>
      <c r="L82" s="105">
        <v>0</v>
      </c>
      <c r="M82" s="105"/>
      <c r="N82" s="105">
        <v>6171</v>
      </c>
      <c r="O82" s="105">
        <v>6171</v>
      </c>
      <c r="P82" s="70"/>
      <c r="Q82" s="200">
        <f>R82*2.2</f>
        <v>122.18580000000003</v>
      </c>
      <c r="R82" s="200">
        <f t="shared" si="337"/>
        <v>55.539000000000009</v>
      </c>
      <c r="S82" s="200">
        <f t="shared" si="294"/>
        <v>0</v>
      </c>
      <c r="T82" s="70"/>
      <c r="U82" s="203">
        <f t="shared" si="295"/>
        <v>0.9</v>
      </c>
      <c r="V82" s="107">
        <f t="shared" si="296"/>
        <v>5553.9000000000005</v>
      </c>
      <c r="W82" s="108">
        <f t="shared" si="297"/>
        <v>22</v>
      </c>
      <c r="X82" s="108">
        <f t="shared" si="298"/>
        <v>10</v>
      </c>
      <c r="Y82" s="108">
        <f t="shared" si="298"/>
        <v>30</v>
      </c>
      <c r="Z82" s="108">
        <f t="shared" si="298"/>
        <v>5</v>
      </c>
      <c r="AA82" s="74"/>
      <c r="AB82" s="203">
        <f t="shared" si="299"/>
        <v>0.85</v>
      </c>
      <c r="AC82" s="107">
        <f t="shared" si="300"/>
        <v>0</v>
      </c>
      <c r="AD82" s="108">
        <f t="shared" si="301"/>
        <v>22</v>
      </c>
      <c r="AE82" s="108">
        <f t="shared" si="338"/>
        <v>5</v>
      </c>
      <c r="AF82" s="108">
        <f t="shared" si="338"/>
        <v>35</v>
      </c>
      <c r="AG82" s="108">
        <f t="shared" si="302"/>
        <v>15</v>
      </c>
      <c r="AH82" s="75"/>
      <c r="AI82" s="203">
        <f t="shared" si="303"/>
        <v>0.85</v>
      </c>
      <c r="AJ82" s="107">
        <f t="shared" si="304"/>
        <v>0</v>
      </c>
      <c r="AK82" s="108">
        <f t="shared" si="305"/>
        <v>22</v>
      </c>
      <c r="AL82" s="219">
        <f t="shared" si="306"/>
        <v>7.5</v>
      </c>
      <c r="AM82" s="108">
        <f t="shared" si="306"/>
        <v>50</v>
      </c>
      <c r="AN82" s="134">
        <v>0</v>
      </c>
      <c r="AO82" s="107">
        <v>0</v>
      </c>
      <c r="AP82" s="108">
        <f t="shared" si="285"/>
        <v>15</v>
      </c>
      <c r="AQ82" s="108">
        <f t="shared" si="285"/>
        <v>5</v>
      </c>
      <c r="AR82" s="108">
        <f t="shared" si="285"/>
        <v>20</v>
      </c>
      <c r="AS82" s="108">
        <f t="shared" si="307"/>
        <v>15</v>
      </c>
      <c r="AT82" s="84"/>
      <c r="AU82" s="203">
        <f t="shared" si="308"/>
        <v>1</v>
      </c>
      <c r="AV82" s="107">
        <f t="shared" si="309"/>
        <v>0</v>
      </c>
      <c r="AW82" s="108">
        <f t="shared" si="310"/>
        <v>4</v>
      </c>
      <c r="AX82" s="75"/>
      <c r="AY82" s="110">
        <f t="shared" si="311"/>
        <v>122185.80000000002</v>
      </c>
      <c r="AZ82" s="110">
        <f t="shared" si="312"/>
        <v>0</v>
      </c>
      <c r="BA82" s="110">
        <f t="shared" si="313"/>
        <v>0</v>
      </c>
      <c r="BB82" s="110">
        <f t="shared" si="314"/>
        <v>55539.000000000007</v>
      </c>
      <c r="BC82" s="110">
        <f t="shared" si="315"/>
        <v>0</v>
      </c>
      <c r="BD82" s="110">
        <f t="shared" si="316"/>
        <v>0</v>
      </c>
      <c r="BE82" s="110">
        <f t="shared" si="317"/>
        <v>166617.00000000003</v>
      </c>
      <c r="BF82" s="110">
        <f t="shared" si="318"/>
        <v>0</v>
      </c>
      <c r="BG82" s="110">
        <f t="shared" si="319"/>
        <v>0</v>
      </c>
      <c r="BH82" s="110">
        <f t="shared" si="320"/>
        <v>0</v>
      </c>
      <c r="BI82" s="110">
        <f t="shared" si="321"/>
        <v>27769.500000000004</v>
      </c>
      <c r="BJ82" s="110">
        <f t="shared" si="322"/>
        <v>0</v>
      </c>
      <c r="BK82" s="110">
        <f t="shared" si="323"/>
        <v>0</v>
      </c>
      <c r="BL82" s="84"/>
      <c r="BM82" s="111">
        <f t="shared" si="324"/>
        <v>122185.80000000002</v>
      </c>
      <c r="BN82" s="111">
        <f t="shared" si="325"/>
        <v>55539.000000000007</v>
      </c>
      <c r="BO82" s="111">
        <f t="shared" si="326"/>
        <v>166617.00000000003</v>
      </c>
      <c r="BP82" s="111">
        <f t="shared" si="327"/>
        <v>27769.500000000004</v>
      </c>
      <c r="BR82" s="112">
        <f t="shared" si="328"/>
        <v>67.881000000000014</v>
      </c>
      <c r="BS82" s="112">
        <f t="shared" si="329"/>
        <v>12.680136986301372</v>
      </c>
      <c r="BU82" s="113">
        <f t="shared" si="330"/>
        <v>11.663190000000002</v>
      </c>
      <c r="BV82" s="113">
        <f t="shared" si="330"/>
        <v>11.663190000000002</v>
      </c>
      <c r="BW82" s="111">
        <f t="shared" si="331"/>
        <v>21623.554260000001</v>
      </c>
      <c r="BX82" s="112">
        <f t="shared" si="332"/>
        <v>177.28048800000002</v>
      </c>
      <c r="BY82" s="82"/>
      <c r="BZ82" s="111"/>
      <c r="CA82" s="112"/>
      <c r="CB82" s="82"/>
      <c r="CC82" s="111">
        <f t="shared" si="333"/>
        <v>51836.400000000009</v>
      </c>
      <c r="CD82" s="112">
        <f t="shared" si="334"/>
        <v>26.853712328767131</v>
      </c>
      <c r="CF82" s="111">
        <f t="shared" si="335"/>
        <v>240076.95426000003</v>
      </c>
      <c r="CH82" s="229">
        <f t="shared" si="336"/>
        <v>15.4275</v>
      </c>
      <c r="CJ82" s="229">
        <f t="shared" si="53"/>
        <v>92565</v>
      </c>
    </row>
    <row r="83" spans="2:88" x14ac:dyDescent="0.2">
      <c r="B83" s="85"/>
      <c r="C83" s="86"/>
      <c r="D83" s="6"/>
      <c r="F83" s="3"/>
      <c r="G83" s="3"/>
      <c r="H83" s="40"/>
      <c r="I83" s="84"/>
      <c r="J83" s="70"/>
      <c r="K83" s="70"/>
      <c r="L83" s="70"/>
      <c r="M83" s="70"/>
      <c r="N83" s="84"/>
      <c r="O83" s="84"/>
      <c r="P83" s="84"/>
      <c r="Q83" s="87"/>
      <c r="R83" s="88"/>
      <c r="S83" s="88"/>
      <c r="T83" s="84"/>
      <c r="U83" s="205"/>
      <c r="V83" s="84"/>
      <c r="W83" s="75"/>
      <c r="X83" s="75"/>
      <c r="Y83" s="75"/>
      <c r="Z83" s="75"/>
      <c r="AA83" s="74"/>
      <c r="AB83" s="205"/>
      <c r="AC83" s="84"/>
      <c r="AD83" s="78"/>
      <c r="AE83" s="78"/>
      <c r="AF83" s="78"/>
      <c r="AG83" s="78"/>
      <c r="AH83" s="78"/>
      <c r="AI83" s="89"/>
      <c r="AJ83" s="84"/>
      <c r="AK83" s="78"/>
      <c r="AL83" s="222"/>
      <c r="AM83" s="78"/>
      <c r="AN83" s="89"/>
      <c r="AO83" s="84"/>
      <c r="AP83" s="78"/>
      <c r="AQ83" s="78"/>
      <c r="AR83" s="78"/>
      <c r="AS83" s="78"/>
      <c r="AT83" s="78"/>
      <c r="AU83" s="89"/>
      <c r="AV83" s="84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91"/>
      <c r="BN83" s="91"/>
      <c r="BO83" s="91"/>
      <c r="BP83" s="91"/>
      <c r="BR83" s="82"/>
      <c r="BS83" s="82"/>
      <c r="BU83" s="92"/>
      <c r="BV83" s="92"/>
      <c r="BW83" s="91"/>
      <c r="BX83" s="82"/>
      <c r="BY83" s="82"/>
      <c r="BZ83" s="91"/>
      <c r="CA83" s="82"/>
      <c r="CB83" s="82"/>
      <c r="CC83" s="91"/>
      <c r="CD83" s="82"/>
      <c r="CF83" s="91"/>
      <c r="CH83" s="228"/>
      <c r="CJ83" s="228">
        <f t="shared" si="53"/>
        <v>0</v>
      </c>
    </row>
    <row r="84" spans="2:88" x14ac:dyDescent="0.2">
      <c r="B84" s="322" t="s">
        <v>82</v>
      </c>
      <c r="C84" s="322"/>
      <c r="D84" s="322"/>
      <c r="F84" s="53">
        <f>SUM(F85)</f>
        <v>832</v>
      </c>
      <c r="G84" s="53">
        <f t="shared" ref="G84:N84" si="339">SUM(G85)</f>
        <v>832</v>
      </c>
      <c r="H84" s="53"/>
      <c r="I84" s="53">
        <f t="shared" si="339"/>
        <v>0</v>
      </c>
      <c r="J84" s="53">
        <f t="shared" si="339"/>
        <v>0</v>
      </c>
      <c r="K84" s="53">
        <f t="shared" si="339"/>
        <v>832</v>
      </c>
      <c r="L84" s="53">
        <f t="shared" si="339"/>
        <v>0</v>
      </c>
      <c r="M84" s="53"/>
      <c r="N84" s="53">
        <f t="shared" si="339"/>
        <v>832</v>
      </c>
      <c r="O84" s="53">
        <f>SUM(O85)</f>
        <v>832</v>
      </c>
      <c r="P84" s="55"/>
      <c r="Q84" s="56">
        <f>SUM(Q85)</f>
        <v>0</v>
      </c>
      <c r="R84" s="56">
        <f>SUM(R85)</f>
        <v>0</v>
      </c>
      <c r="S84" s="56">
        <f>SUM(S85)</f>
        <v>11.934000000000001</v>
      </c>
      <c r="T84" s="55"/>
      <c r="U84" s="207"/>
      <c r="V84" s="53">
        <f>SUM(V85)</f>
        <v>0</v>
      </c>
      <c r="W84" s="58"/>
      <c r="X84" s="58"/>
      <c r="Y84" s="58"/>
      <c r="Z84" s="58"/>
      <c r="AA84" s="59"/>
      <c r="AB84" s="207"/>
      <c r="AC84" s="53">
        <f>SUM(AC85)</f>
        <v>0</v>
      </c>
      <c r="AD84" s="58"/>
      <c r="AE84" s="58"/>
      <c r="AF84" s="58"/>
      <c r="AG84" s="58"/>
      <c r="AH84" s="60"/>
      <c r="AI84" s="57"/>
      <c r="AJ84" s="53">
        <f>SUM(AJ85)</f>
        <v>707.19999999999993</v>
      </c>
      <c r="AK84" s="58"/>
      <c r="AL84" s="185"/>
      <c r="AM84" s="58"/>
      <c r="AN84" s="57"/>
      <c r="AO84" s="53">
        <v>0</v>
      </c>
      <c r="AP84" s="58">
        <f t="shared" ref="AP84:AR85" si="340">AP$13</f>
        <v>15</v>
      </c>
      <c r="AQ84" s="58">
        <f t="shared" si="340"/>
        <v>5</v>
      </c>
      <c r="AR84" s="58">
        <f t="shared" si="340"/>
        <v>20</v>
      </c>
      <c r="AS84" s="58"/>
      <c r="AT84" s="55"/>
      <c r="AU84" s="57"/>
      <c r="AV84" s="53">
        <f>SUM(AV85)</f>
        <v>0</v>
      </c>
      <c r="AW84" s="58"/>
      <c r="AX84" s="60"/>
      <c r="AY84" s="61">
        <f>SUM(AY85)</f>
        <v>0</v>
      </c>
      <c r="AZ84" s="61">
        <f t="shared" ref="AZ84:BK84" si="341">SUM(AZ85)</f>
        <v>0</v>
      </c>
      <c r="BA84" s="61">
        <f t="shared" si="341"/>
        <v>21215.999999999996</v>
      </c>
      <c r="BB84" s="61">
        <f t="shared" si="341"/>
        <v>0</v>
      </c>
      <c r="BC84" s="61">
        <f t="shared" si="341"/>
        <v>0</v>
      </c>
      <c r="BD84" s="61">
        <f t="shared" si="341"/>
        <v>53039.999999999993</v>
      </c>
      <c r="BE84" s="61">
        <f t="shared" si="341"/>
        <v>0</v>
      </c>
      <c r="BF84" s="61">
        <f t="shared" si="341"/>
        <v>0</v>
      </c>
      <c r="BG84" s="61">
        <f t="shared" si="341"/>
        <v>70720</v>
      </c>
      <c r="BH84" s="61">
        <f t="shared" si="341"/>
        <v>0</v>
      </c>
      <c r="BI84" s="61">
        <f t="shared" si="341"/>
        <v>0</v>
      </c>
      <c r="BJ84" s="61">
        <f t="shared" si="341"/>
        <v>0</v>
      </c>
      <c r="BK84" s="61">
        <f t="shared" si="341"/>
        <v>10607.999999999998</v>
      </c>
      <c r="BL84" s="55"/>
      <c r="BM84" s="61">
        <f>SUM(BM85:BM86)</f>
        <v>21215.999999999996</v>
      </c>
      <c r="BN84" s="61">
        <f t="shared" ref="BN84:BP84" si="342">SUM(BN85:BN86)</f>
        <v>53039.999999999993</v>
      </c>
      <c r="BO84" s="61">
        <f t="shared" si="342"/>
        <v>70720</v>
      </c>
      <c r="BP84" s="61">
        <f t="shared" si="342"/>
        <v>10607.999999999998</v>
      </c>
      <c r="BR84" s="62">
        <f t="shared" ref="BR84:BS84" si="343">SUM(BR85:BR86)</f>
        <v>11.786666666666665</v>
      </c>
      <c r="BS84" s="62">
        <f t="shared" si="343"/>
        <v>12.109589041095889</v>
      </c>
      <c r="BU84" s="58">
        <f t="shared" ref="BU84:BX84" si="344">SUM(BU85:BU86)</f>
        <v>4.6222222222222218</v>
      </c>
      <c r="BV84" s="58">
        <f t="shared" si="344"/>
        <v>4.6222222222222218</v>
      </c>
      <c r="BW84" s="61">
        <f t="shared" si="344"/>
        <v>8569.5999999999985</v>
      </c>
      <c r="BX84" s="62">
        <f t="shared" si="344"/>
        <v>70.257777777777761</v>
      </c>
      <c r="BY84" s="63"/>
      <c r="BZ84" s="61">
        <f t="shared" ref="BZ84:CA84" si="345">SUM(BZ85:BZ86)</f>
        <v>0</v>
      </c>
      <c r="CA84" s="62">
        <f t="shared" si="345"/>
        <v>0</v>
      </c>
      <c r="CB84" s="63"/>
      <c r="CC84" s="61">
        <f t="shared" ref="CC84:CD84" si="346">SUM(CC85:CC86)</f>
        <v>17680</v>
      </c>
      <c r="CD84" s="62">
        <f t="shared" si="346"/>
        <v>7.9654185692541848</v>
      </c>
      <c r="CF84" s="61">
        <f t="shared" ref="CF84:CH84" si="347">SUM(CF85:CF86)</f>
        <v>96969.600000000006</v>
      </c>
      <c r="CH84" s="62">
        <f t="shared" si="347"/>
        <v>2.08</v>
      </c>
      <c r="CJ84" s="62">
        <f t="shared" ref="CJ84:CJ85" si="348">N84*15</f>
        <v>12480</v>
      </c>
    </row>
    <row r="85" spans="2:88" x14ac:dyDescent="0.2">
      <c r="B85" s="64"/>
      <c r="C85" s="65">
        <v>1</v>
      </c>
      <c r="D85" s="199" t="s">
        <v>94</v>
      </c>
      <c r="F85" s="67">
        <v>832</v>
      </c>
      <c r="G85" s="67">
        <v>832</v>
      </c>
      <c r="H85" s="69">
        <v>1</v>
      </c>
      <c r="I85" s="68">
        <v>0</v>
      </c>
      <c r="J85" s="67">
        <v>0</v>
      </c>
      <c r="K85" s="68">
        <v>832</v>
      </c>
      <c r="L85" s="68">
        <v>0</v>
      </c>
      <c r="M85" s="68"/>
      <c r="N85" s="67">
        <v>832</v>
      </c>
      <c r="O85" s="67">
        <v>832</v>
      </c>
      <c r="P85" s="70"/>
      <c r="Q85" s="71">
        <f>R85*2.2</f>
        <v>0</v>
      </c>
      <c r="R85" s="71">
        <f>V85/110</f>
        <v>0</v>
      </c>
      <c r="S85" s="71">
        <f>(AC85*0.675/27)+(AJ85*0.675/40)</f>
        <v>11.934000000000001</v>
      </c>
      <c r="T85" s="70"/>
      <c r="U85" s="204">
        <f t="shared" ref="U85" si="349">$U$12</f>
        <v>0.9</v>
      </c>
      <c r="V85" s="68">
        <f>U85*I85</f>
        <v>0</v>
      </c>
      <c r="W85" s="73">
        <f t="shared" ref="W85" si="350">$W$12</f>
        <v>22</v>
      </c>
      <c r="X85" s="73">
        <f t="shared" ref="X85:Y85" si="351">X$12</f>
        <v>10</v>
      </c>
      <c r="Y85" s="73">
        <f t="shared" si="351"/>
        <v>30</v>
      </c>
      <c r="Z85" s="108">
        <f>Z$12</f>
        <v>5</v>
      </c>
      <c r="AA85" s="74"/>
      <c r="AB85" s="204">
        <f>$AB$12</f>
        <v>0.85</v>
      </c>
      <c r="AC85" s="68">
        <f>AB85*J85</f>
        <v>0</v>
      </c>
      <c r="AD85" s="73">
        <v>30</v>
      </c>
      <c r="AE85" s="73">
        <v>75</v>
      </c>
      <c r="AF85" s="73">
        <v>100</v>
      </c>
      <c r="AG85" s="108">
        <f>$AG$12</f>
        <v>15</v>
      </c>
      <c r="AH85" s="75"/>
      <c r="AI85" s="204">
        <f t="shared" ref="AI85" si="352">$AI$12</f>
        <v>0.85</v>
      </c>
      <c r="AJ85" s="68">
        <f>AI85*K85</f>
        <v>707.19999999999993</v>
      </c>
      <c r="AK85" s="73">
        <v>30</v>
      </c>
      <c r="AL85" s="225">
        <v>75</v>
      </c>
      <c r="AM85" s="73">
        <v>100</v>
      </c>
      <c r="AN85" s="76">
        <v>0</v>
      </c>
      <c r="AO85" s="68">
        <v>0</v>
      </c>
      <c r="AP85" s="73">
        <f t="shared" si="340"/>
        <v>15</v>
      </c>
      <c r="AQ85" s="73">
        <f t="shared" si="340"/>
        <v>5</v>
      </c>
      <c r="AR85" s="73">
        <f t="shared" si="340"/>
        <v>20</v>
      </c>
      <c r="AS85" s="108">
        <f>AS$12</f>
        <v>15</v>
      </c>
      <c r="AT85" s="78"/>
      <c r="AU85" s="204">
        <f t="shared" ref="AU85" si="353">$AU$12</f>
        <v>1</v>
      </c>
      <c r="AV85" s="68">
        <f>AU85*L85</f>
        <v>0</v>
      </c>
      <c r="AW85" s="73">
        <f t="shared" ref="AW85" si="354">AW$12</f>
        <v>4</v>
      </c>
      <c r="AX85" s="75"/>
      <c r="AY85" s="77">
        <f>V85*W85</f>
        <v>0</v>
      </c>
      <c r="AZ85" s="77">
        <f>AC85*AD85</f>
        <v>0</v>
      </c>
      <c r="BA85" s="77">
        <f>AJ85*AK85</f>
        <v>21215.999999999996</v>
      </c>
      <c r="BB85" s="77">
        <f>V85*X85</f>
        <v>0</v>
      </c>
      <c r="BC85" s="77">
        <f>AC85*AE85</f>
        <v>0</v>
      </c>
      <c r="BD85" s="77">
        <f>AJ85*AL85</f>
        <v>53039.999999999993</v>
      </c>
      <c r="BE85" s="77">
        <f>V85*Y85</f>
        <v>0</v>
      </c>
      <c r="BF85" s="77">
        <f>AC85*AF85</f>
        <v>0</v>
      </c>
      <c r="BG85" s="77">
        <f>+AJ85*AM85</f>
        <v>70720</v>
      </c>
      <c r="BH85" s="77">
        <f>+AV85*AW85</f>
        <v>0</v>
      </c>
      <c r="BI85" s="110">
        <f t="shared" ref="BI85" si="355">Z85*V85</f>
        <v>0</v>
      </c>
      <c r="BJ85" s="110">
        <f t="shared" ref="BJ85" si="356">+AG85*AC85</f>
        <v>0</v>
      </c>
      <c r="BK85" s="110">
        <f t="shared" ref="BK85" si="357">+AS85*AJ85</f>
        <v>10607.999999999998</v>
      </c>
      <c r="BL85" s="78"/>
      <c r="BM85" s="79">
        <f>AY85+AZ85+BA85</f>
        <v>21215.999999999996</v>
      </c>
      <c r="BN85" s="79">
        <f>+BB85+BC85+BD85</f>
        <v>53039.999999999993</v>
      </c>
      <c r="BO85" s="79">
        <f>+BE85+BF85+BG85+BH85</f>
        <v>70720</v>
      </c>
      <c r="BP85" s="111">
        <f>SUM(BI85:BK85)</f>
        <v>10607.999999999998</v>
      </c>
      <c r="BR85" s="80">
        <f>BM85/$BR$6</f>
        <v>11.786666666666665</v>
      </c>
      <c r="BS85" s="80">
        <f>(BB85+BC85+BD85)/$BS$6</f>
        <v>12.109589041095889</v>
      </c>
      <c r="BU85" s="81">
        <f>($BU$3*$R85)+(($J85+$K85)/$BU$5*$BU$7)</f>
        <v>4.6222222222222218</v>
      </c>
      <c r="BV85" s="81">
        <f>($BU$3*$R85)+(($J85+$K85)/$BU$5*$BU$7)</f>
        <v>4.6222222222222218</v>
      </c>
      <c r="BW85" s="79">
        <f>BV85*$BW$3*$BW$6</f>
        <v>8569.5999999999985</v>
      </c>
      <c r="BX85" s="80">
        <f>(BU85*0.3*50+BU85*0.7*22)*$BX$6</f>
        <v>70.257777777777761</v>
      </c>
      <c r="BY85" s="82"/>
      <c r="BZ85" s="79"/>
      <c r="CA85" s="80"/>
      <c r="CB85" s="82"/>
      <c r="CC85" s="79">
        <f>BM85/$CC$3+(BN85*(1-$CD$3)/$CC$6)</f>
        <v>17680</v>
      </c>
      <c r="CD85" s="80">
        <f>BR85/$CD$6+BS85/$CD$6</f>
        <v>7.9654185692541848</v>
      </c>
      <c r="CF85" s="79">
        <f>BE85+BF85+BG85+BH85+BW85+BZ85+CC85</f>
        <v>96969.600000000006</v>
      </c>
      <c r="CH85" s="233">
        <f>$CH$6*O85/1000</f>
        <v>2.08</v>
      </c>
      <c r="CJ85" s="233">
        <f t="shared" si="348"/>
        <v>12480</v>
      </c>
    </row>
    <row r="86" spans="2:88" x14ac:dyDescent="0.2">
      <c r="B86" s="173"/>
      <c r="C86" s="174"/>
      <c r="D86" s="174"/>
      <c r="F86" s="3"/>
      <c r="G86" s="3"/>
      <c r="H86" s="40"/>
      <c r="I86" s="55"/>
      <c r="J86" s="55"/>
      <c r="K86" s="55"/>
      <c r="L86" s="55"/>
      <c r="M86" s="55"/>
      <c r="N86" s="55"/>
      <c r="O86" s="55"/>
      <c r="P86" s="55"/>
      <c r="Q86" s="40"/>
      <c r="R86" s="175"/>
      <c r="S86" s="175"/>
      <c r="T86" s="55"/>
      <c r="U86" s="175"/>
      <c r="V86" s="55"/>
      <c r="W86" s="60"/>
      <c r="X86" s="60"/>
      <c r="Y86" s="60"/>
      <c r="Z86" s="60"/>
      <c r="AA86" s="59"/>
      <c r="AB86" s="210"/>
      <c r="AC86" s="55"/>
      <c r="AD86" s="55"/>
      <c r="AE86" s="55"/>
      <c r="AF86" s="55"/>
      <c r="AG86" s="55"/>
      <c r="AH86" s="55"/>
      <c r="AI86" s="176"/>
      <c r="AJ86" s="55"/>
      <c r="AK86" s="55"/>
      <c r="AL86" s="227"/>
      <c r="AM86" s="55"/>
      <c r="AN86" s="176"/>
      <c r="AO86" s="55"/>
      <c r="AP86" s="55"/>
      <c r="AQ86" s="55"/>
      <c r="AR86" s="55"/>
      <c r="AS86" s="55"/>
      <c r="AT86" s="55"/>
      <c r="AU86" s="176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177"/>
      <c r="BN86" s="177"/>
      <c r="BO86" s="177"/>
      <c r="BP86" s="177"/>
      <c r="BR86" s="177"/>
      <c r="BS86" s="177"/>
    </row>
    <row r="87" spans="2:88" x14ac:dyDescent="0.2">
      <c r="B87" s="85"/>
      <c r="C87" s="86"/>
      <c r="D87" s="6"/>
      <c r="F87" s="3"/>
      <c r="G87" s="3"/>
      <c r="H87" s="40"/>
      <c r="I87" s="84"/>
      <c r="J87" s="70"/>
      <c r="K87" s="70"/>
      <c r="L87" s="70"/>
      <c r="M87" s="70"/>
      <c r="N87" s="84"/>
      <c r="O87" s="84"/>
      <c r="P87" s="84"/>
      <c r="Q87" s="40"/>
      <c r="R87" s="178"/>
      <c r="S87" s="178"/>
      <c r="T87" s="84"/>
      <c r="U87" s="178"/>
      <c r="V87" s="84"/>
      <c r="W87" s="75"/>
      <c r="X87" s="75"/>
      <c r="Y87" s="75"/>
      <c r="Z87" s="75"/>
      <c r="AA87" s="74"/>
      <c r="AB87" s="89"/>
      <c r="AC87" s="84"/>
      <c r="AD87" s="78"/>
      <c r="AE87" s="78"/>
      <c r="AF87" s="78"/>
      <c r="AG87" s="78"/>
      <c r="AH87" s="78"/>
      <c r="AI87" s="89"/>
      <c r="AJ87" s="84"/>
      <c r="AK87" s="78"/>
      <c r="AL87" s="222"/>
      <c r="AM87" s="78"/>
      <c r="AN87" s="89"/>
      <c r="AO87" s="84"/>
      <c r="AP87" s="78"/>
      <c r="AQ87" s="78"/>
      <c r="AR87" s="78"/>
      <c r="AS87" s="78"/>
      <c r="AT87" s="78"/>
      <c r="AU87" s="89"/>
      <c r="AV87" s="84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91"/>
      <c r="BN87" s="91"/>
      <c r="BO87" s="91"/>
      <c r="BP87" s="91"/>
      <c r="BR87" s="91"/>
      <c r="BS87" s="91"/>
    </row>
    <row r="88" spans="2:88" x14ac:dyDescent="0.2">
      <c r="C88" s="86"/>
      <c r="D88" s="6"/>
      <c r="F88" s="3"/>
      <c r="G88" s="3"/>
      <c r="H88" s="40"/>
      <c r="I88" s="84"/>
      <c r="J88" s="70"/>
      <c r="K88" s="70"/>
      <c r="L88" s="70"/>
      <c r="M88" s="70"/>
      <c r="N88" s="84"/>
      <c r="O88" s="84"/>
      <c r="P88" s="84"/>
      <c r="Q88" s="40"/>
      <c r="R88" s="178"/>
      <c r="S88" s="178"/>
      <c r="T88" s="84"/>
      <c r="U88" s="178"/>
      <c r="V88" s="84"/>
      <c r="W88" s="75"/>
      <c r="X88" s="75"/>
      <c r="Y88" s="75"/>
      <c r="Z88" s="75"/>
      <c r="AA88" s="74"/>
      <c r="AB88" s="89"/>
      <c r="AC88" s="84"/>
      <c r="AD88" s="78"/>
      <c r="AE88" s="78"/>
      <c r="AF88" s="78"/>
      <c r="AG88" s="78"/>
      <c r="AH88" s="78"/>
      <c r="AI88" s="89"/>
      <c r="AJ88" s="84"/>
      <c r="AK88" s="78"/>
      <c r="AL88" s="222"/>
      <c r="AM88" s="78"/>
      <c r="AN88" s="89"/>
      <c r="AO88" s="84"/>
      <c r="AP88" s="78"/>
      <c r="AQ88" s="78"/>
      <c r="AR88" s="78"/>
      <c r="AS88" s="78"/>
      <c r="AT88" s="78"/>
      <c r="AU88" s="89"/>
      <c r="AV88" s="84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91"/>
      <c r="BN88" s="91"/>
      <c r="BO88" s="91"/>
      <c r="BP88" s="91"/>
      <c r="BR88" s="91"/>
      <c r="BS88" s="91"/>
    </row>
    <row r="89" spans="2:88" x14ac:dyDescent="0.2">
      <c r="C89" s="86"/>
      <c r="D89" s="6"/>
      <c r="F89" s="3"/>
      <c r="G89" s="3"/>
      <c r="H89" s="40"/>
      <c r="I89" s="84"/>
      <c r="J89" s="70"/>
      <c r="K89" s="70"/>
      <c r="L89" s="70"/>
      <c r="M89" s="70"/>
      <c r="N89" s="84"/>
      <c r="O89" s="84"/>
      <c r="P89" s="84"/>
      <c r="Q89" s="40"/>
      <c r="R89" s="178"/>
      <c r="S89" s="178"/>
      <c r="T89" s="84"/>
      <c r="U89" s="178"/>
      <c r="V89" s="84"/>
      <c r="W89" s="75"/>
      <c r="X89" s="75"/>
      <c r="Y89" s="75"/>
      <c r="Z89" s="75"/>
      <c r="AA89" s="74"/>
      <c r="AB89" s="89"/>
      <c r="AC89" s="84"/>
      <c r="AD89" s="78"/>
      <c r="AE89" s="78"/>
      <c r="AF89" s="78"/>
      <c r="AG89" s="78"/>
      <c r="AH89" s="78"/>
      <c r="AI89" s="89"/>
      <c r="AJ89" s="84"/>
      <c r="AK89" s="78"/>
      <c r="AL89" s="222"/>
      <c r="AM89" s="78"/>
      <c r="AN89" s="89"/>
      <c r="AO89" s="84"/>
      <c r="AP89" s="78"/>
      <c r="AQ89" s="78"/>
      <c r="AR89" s="78"/>
      <c r="AS89" s="78"/>
      <c r="AT89" s="78"/>
      <c r="AU89" s="89"/>
      <c r="AV89" s="84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91"/>
      <c r="BN89" s="91"/>
      <c r="BO89" s="91"/>
      <c r="BP89" s="91"/>
      <c r="BR89" s="91"/>
      <c r="BS89" s="91"/>
    </row>
    <row r="90" spans="2:88" x14ac:dyDescent="0.2">
      <c r="C90" s="86"/>
      <c r="D90" s="6"/>
      <c r="F90" s="3"/>
      <c r="G90" s="3"/>
      <c r="H90" s="40"/>
      <c r="I90" s="84"/>
      <c r="J90" s="70"/>
      <c r="K90" s="70"/>
      <c r="L90" s="70"/>
      <c r="M90" s="70"/>
      <c r="N90" s="84"/>
      <c r="O90" s="84"/>
      <c r="P90" s="84"/>
      <c r="Q90" s="40"/>
      <c r="R90" s="178"/>
      <c r="S90" s="178"/>
      <c r="T90" s="84"/>
      <c r="U90" s="178"/>
      <c r="V90" s="84"/>
      <c r="W90" s="75"/>
      <c r="X90" s="75"/>
      <c r="Y90" s="75"/>
      <c r="Z90" s="75"/>
      <c r="AA90" s="74"/>
      <c r="AB90" s="89"/>
      <c r="AC90" s="84"/>
      <c r="AD90" s="78"/>
      <c r="AE90" s="78"/>
      <c r="AF90" s="78"/>
      <c r="AG90" s="78"/>
      <c r="AH90" s="78"/>
      <c r="AI90" s="89"/>
      <c r="AJ90" s="84"/>
      <c r="AK90" s="78"/>
      <c r="AL90" s="222"/>
      <c r="AM90" s="78"/>
      <c r="AN90" s="89"/>
      <c r="AO90" s="84"/>
      <c r="AP90" s="78"/>
      <c r="AQ90" s="78"/>
      <c r="AR90" s="78"/>
      <c r="AS90" s="78"/>
      <c r="AT90" s="78"/>
      <c r="AU90" s="89"/>
      <c r="AV90" s="84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91"/>
      <c r="BN90" s="91"/>
      <c r="BO90" s="91"/>
      <c r="BP90" s="91"/>
      <c r="BR90" s="91"/>
      <c r="BS90" s="91"/>
    </row>
    <row r="91" spans="2:88" x14ac:dyDescent="0.2">
      <c r="B91" s="3"/>
      <c r="C91" s="86"/>
      <c r="D91" s="6"/>
      <c r="F91" s="3"/>
      <c r="G91" s="3"/>
      <c r="H91" s="40"/>
      <c r="I91" s="84"/>
      <c r="J91" s="70"/>
      <c r="K91" s="70"/>
      <c r="L91" s="70"/>
      <c r="M91" s="70"/>
      <c r="N91" s="84"/>
      <c r="O91" s="84"/>
      <c r="P91" s="84"/>
      <c r="Q91" s="40"/>
      <c r="R91" s="178"/>
      <c r="S91" s="178"/>
      <c r="T91" s="84"/>
      <c r="U91" s="178"/>
      <c r="V91" s="84"/>
      <c r="W91" s="75"/>
      <c r="X91" s="75"/>
      <c r="Y91" s="75"/>
      <c r="Z91" s="75"/>
      <c r="AA91" s="74"/>
      <c r="AB91" s="89"/>
      <c r="AC91" s="84"/>
      <c r="AD91" s="84"/>
      <c r="AE91" s="84"/>
      <c r="AF91" s="84"/>
      <c r="AG91" s="84"/>
      <c r="AH91" s="84"/>
      <c r="AI91" s="89"/>
      <c r="AJ91" s="84"/>
      <c r="AK91" s="84"/>
      <c r="AL91" s="222"/>
      <c r="AM91" s="84"/>
      <c r="AN91" s="89"/>
      <c r="AO91" s="84"/>
      <c r="AP91" s="84"/>
      <c r="AQ91" s="84"/>
      <c r="AR91" s="84"/>
      <c r="AS91" s="84"/>
      <c r="AT91" s="84"/>
      <c r="AU91" s="89"/>
      <c r="AV91" s="84"/>
      <c r="AW91" s="84"/>
      <c r="AX91" s="84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84"/>
      <c r="BM91" s="91"/>
      <c r="BN91" s="91"/>
      <c r="BO91" s="91"/>
      <c r="BP91" s="91"/>
      <c r="BR91" s="91"/>
      <c r="BS91" s="91"/>
    </row>
    <row r="92" spans="2:88" x14ac:dyDescent="0.2">
      <c r="B92" s="3"/>
      <c r="C92" s="174"/>
      <c r="D92" s="174"/>
      <c r="F92" s="3"/>
      <c r="G92" s="3"/>
      <c r="H92" s="40"/>
      <c r="I92" s="55"/>
      <c r="J92" s="55"/>
      <c r="K92" s="55"/>
      <c r="L92" s="55"/>
      <c r="M92" s="55"/>
      <c r="N92" s="55"/>
      <c r="O92" s="55"/>
      <c r="P92" s="55"/>
      <c r="Q92" s="40"/>
      <c r="R92" s="175"/>
      <c r="S92" s="175"/>
      <c r="T92" s="55"/>
      <c r="U92" s="175"/>
      <c r="V92" s="55"/>
      <c r="W92" s="60"/>
      <c r="X92" s="60"/>
      <c r="Y92" s="60"/>
      <c r="Z92" s="60"/>
      <c r="AA92" s="59"/>
      <c r="AB92" s="176"/>
      <c r="AC92" s="55"/>
      <c r="AD92" s="55"/>
      <c r="AE92" s="55"/>
      <c r="AF92" s="55"/>
      <c r="AG92" s="55"/>
      <c r="AH92" s="55"/>
      <c r="AI92" s="176"/>
      <c r="AJ92" s="55"/>
      <c r="AK92" s="55"/>
      <c r="AL92" s="227"/>
      <c r="AM92" s="55"/>
      <c r="AN92" s="176"/>
      <c r="AO92" s="55"/>
      <c r="AP92" s="55"/>
      <c r="AQ92" s="55"/>
      <c r="AR92" s="55"/>
      <c r="AS92" s="55"/>
      <c r="AT92" s="55"/>
      <c r="AU92" s="176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177"/>
      <c r="BN92" s="177"/>
      <c r="BO92" s="177"/>
      <c r="BP92" s="177"/>
      <c r="BR92" s="177"/>
      <c r="BS92" s="177"/>
    </row>
    <row r="93" spans="2:88" x14ac:dyDescent="0.2">
      <c r="B93" s="85"/>
      <c r="C93" s="86"/>
      <c r="D93" s="6"/>
      <c r="F93" s="3"/>
      <c r="G93" s="3"/>
      <c r="H93" s="40"/>
      <c r="I93" s="84"/>
      <c r="J93" s="70"/>
      <c r="K93" s="70"/>
      <c r="L93" s="70"/>
      <c r="M93" s="70"/>
      <c r="N93" s="84"/>
      <c r="O93" s="84"/>
      <c r="P93" s="84"/>
      <c r="Q93" s="40"/>
      <c r="R93" s="178"/>
      <c r="S93" s="178"/>
      <c r="T93" s="84"/>
      <c r="U93" s="178"/>
      <c r="V93" s="84"/>
      <c r="W93" s="75"/>
      <c r="X93" s="75"/>
      <c r="Y93" s="75"/>
      <c r="Z93" s="75"/>
      <c r="AA93" s="74"/>
      <c r="AB93" s="89"/>
      <c r="AC93" s="84"/>
      <c r="AD93" s="78"/>
      <c r="AE93" s="78"/>
      <c r="AF93" s="78"/>
      <c r="AG93" s="78"/>
      <c r="AH93" s="78"/>
      <c r="AI93" s="89"/>
      <c r="AJ93" s="84"/>
      <c r="AK93" s="78"/>
      <c r="AL93" s="222"/>
      <c r="AM93" s="78"/>
      <c r="AN93" s="89"/>
      <c r="AO93" s="84"/>
      <c r="AP93" s="78"/>
      <c r="AQ93" s="78"/>
      <c r="AR93" s="78"/>
      <c r="AS93" s="78"/>
      <c r="AT93" s="78"/>
      <c r="AU93" s="89"/>
      <c r="AV93" s="84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91"/>
      <c r="BN93" s="91"/>
      <c r="BO93" s="91"/>
      <c r="BP93" s="91"/>
      <c r="BR93" s="91"/>
      <c r="BS93" s="91"/>
    </row>
    <row r="94" spans="2:88" x14ac:dyDescent="0.2">
      <c r="B94" s="85"/>
      <c r="C94" s="86"/>
      <c r="D94" s="6"/>
      <c r="F94" s="3"/>
      <c r="G94" s="3"/>
      <c r="H94" s="40"/>
      <c r="I94" s="84"/>
      <c r="J94" s="70"/>
      <c r="K94" s="70"/>
      <c r="L94" s="70"/>
      <c r="M94" s="70"/>
      <c r="N94" s="84"/>
      <c r="O94" s="84"/>
      <c r="P94" s="84"/>
      <c r="Q94" s="40"/>
      <c r="R94" s="178"/>
      <c r="S94" s="178"/>
      <c r="T94" s="84"/>
      <c r="U94" s="178"/>
      <c r="V94" s="84"/>
      <c r="W94" s="75"/>
      <c r="X94" s="75"/>
      <c r="Y94" s="75"/>
      <c r="Z94" s="75"/>
      <c r="AA94" s="74"/>
      <c r="AB94" s="89"/>
      <c r="AC94" s="84"/>
      <c r="AD94" s="78"/>
      <c r="AE94" s="78"/>
      <c r="AF94" s="78"/>
      <c r="AG94" s="78"/>
      <c r="AH94" s="78"/>
      <c r="AI94" s="89"/>
      <c r="AJ94" s="84"/>
      <c r="AK94" s="78"/>
      <c r="AL94" s="78"/>
      <c r="AM94" s="78"/>
      <c r="AN94" s="89"/>
      <c r="AO94" s="84"/>
      <c r="AP94" s="78"/>
      <c r="AQ94" s="78"/>
      <c r="AR94" s="78"/>
      <c r="AS94" s="78"/>
      <c r="AT94" s="78"/>
      <c r="AU94" s="89"/>
      <c r="AV94" s="84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91"/>
      <c r="BN94" s="91"/>
      <c r="BO94" s="91"/>
      <c r="BP94" s="91"/>
      <c r="BR94" s="91"/>
      <c r="BS94" s="91"/>
    </row>
    <row r="95" spans="2:88" x14ac:dyDescent="0.2">
      <c r="B95" s="85"/>
      <c r="C95" s="86"/>
      <c r="D95" s="6"/>
      <c r="F95" s="3"/>
      <c r="G95" s="3"/>
      <c r="H95" s="40"/>
      <c r="I95" s="84"/>
      <c r="J95" s="70"/>
      <c r="K95" s="70"/>
      <c r="L95" s="70"/>
      <c r="M95" s="70"/>
      <c r="N95" s="84"/>
      <c r="O95" s="84"/>
      <c r="P95" s="84"/>
      <c r="Q95" s="40"/>
      <c r="R95" s="178"/>
      <c r="S95" s="178"/>
      <c r="T95" s="84"/>
      <c r="U95" s="178"/>
      <c r="V95" s="84"/>
      <c r="W95" s="75"/>
      <c r="X95" s="75"/>
      <c r="Y95" s="75"/>
      <c r="Z95" s="75"/>
      <c r="AA95" s="74"/>
      <c r="AB95" s="89"/>
      <c r="AC95" s="84"/>
      <c r="AD95" s="78"/>
      <c r="AE95" s="78"/>
      <c r="AF95" s="78"/>
      <c r="AG95" s="78"/>
      <c r="AH95" s="78"/>
      <c r="AI95" s="89"/>
      <c r="AJ95" s="84"/>
      <c r="AK95" s="78"/>
      <c r="AL95" s="78"/>
      <c r="AM95" s="78"/>
      <c r="AN95" s="89"/>
      <c r="AO95" s="84"/>
      <c r="AP95" s="78"/>
      <c r="AQ95" s="78"/>
      <c r="AR95" s="78"/>
      <c r="AS95" s="78"/>
      <c r="AT95" s="78"/>
      <c r="AU95" s="89"/>
      <c r="AV95" s="84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91"/>
      <c r="BN95" s="91"/>
      <c r="BO95" s="91"/>
      <c r="BP95" s="91"/>
      <c r="BR95" s="91"/>
      <c r="BS95" s="91"/>
    </row>
    <row r="96" spans="2:88" x14ac:dyDescent="0.2">
      <c r="B96" s="85"/>
      <c r="C96" s="86"/>
      <c r="D96" s="6"/>
      <c r="F96" s="3"/>
      <c r="G96" s="3"/>
      <c r="H96" s="40"/>
      <c r="I96" s="84"/>
      <c r="J96" s="70"/>
      <c r="K96" s="70"/>
      <c r="L96" s="70"/>
      <c r="M96" s="70"/>
      <c r="N96" s="84"/>
      <c r="O96" s="84"/>
      <c r="P96" s="84"/>
      <c r="Q96" s="40"/>
      <c r="R96" s="178"/>
      <c r="S96" s="178"/>
      <c r="T96" s="84"/>
      <c r="U96" s="178"/>
      <c r="V96" s="84"/>
      <c r="W96" s="75"/>
      <c r="X96" s="75"/>
      <c r="Y96" s="75"/>
      <c r="Z96" s="75"/>
      <c r="AA96" s="74"/>
      <c r="AB96" s="89"/>
      <c r="AC96" s="84"/>
      <c r="AD96" s="78"/>
      <c r="AE96" s="78"/>
      <c r="AF96" s="78"/>
      <c r="AG96" s="78"/>
      <c r="AH96" s="78"/>
      <c r="AI96" s="89"/>
      <c r="AJ96" s="84"/>
      <c r="AK96" s="78"/>
      <c r="AL96" s="78"/>
      <c r="AM96" s="78"/>
      <c r="AN96" s="89"/>
      <c r="AO96" s="84"/>
      <c r="AP96" s="78"/>
      <c r="AQ96" s="78"/>
      <c r="AR96" s="78"/>
      <c r="AS96" s="78"/>
      <c r="AT96" s="78"/>
      <c r="AU96" s="89"/>
      <c r="AV96" s="84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91"/>
      <c r="BN96" s="91"/>
      <c r="BO96" s="91"/>
      <c r="BP96" s="91"/>
      <c r="BR96" s="91"/>
      <c r="BS96" s="91"/>
    </row>
    <row r="97" spans="2:71" x14ac:dyDescent="0.2">
      <c r="B97" s="85"/>
      <c r="C97" s="86"/>
      <c r="D97" s="6"/>
      <c r="F97" s="3"/>
      <c r="G97" s="3"/>
      <c r="H97" s="40"/>
      <c r="I97" s="84"/>
      <c r="J97" s="70"/>
      <c r="K97" s="70"/>
      <c r="L97" s="70"/>
      <c r="M97" s="70"/>
      <c r="N97" s="84"/>
      <c r="O97" s="84"/>
      <c r="P97" s="84"/>
      <c r="Q97" s="40"/>
      <c r="R97" s="178"/>
      <c r="S97" s="178"/>
      <c r="T97" s="84"/>
      <c r="U97" s="178"/>
      <c r="V97" s="84"/>
      <c r="W97" s="75"/>
      <c r="X97" s="75"/>
      <c r="Y97" s="75"/>
      <c r="Z97" s="75"/>
      <c r="AA97" s="74"/>
      <c r="AB97" s="89"/>
      <c r="AC97" s="84"/>
      <c r="AD97" s="78"/>
      <c r="AE97" s="78"/>
      <c r="AF97" s="78"/>
      <c r="AG97" s="78"/>
      <c r="AH97" s="78"/>
      <c r="AI97" s="89"/>
      <c r="AJ97" s="84"/>
      <c r="AK97" s="78"/>
      <c r="AL97" s="78"/>
      <c r="AM97" s="78"/>
      <c r="AN97" s="89"/>
      <c r="AO97" s="84"/>
      <c r="AP97" s="78"/>
      <c r="AQ97" s="78"/>
      <c r="AR97" s="78"/>
      <c r="AS97" s="78"/>
      <c r="AT97" s="78"/>
      <c r="AU97" s="89"/>
      <c r="AV97" s="84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91"/>
      <c r="BN97" s="91"/>
      <c r="BO97" s="91"/>
      <c r="BP97" s="91"/>
      <c r="BR97" s="91"/>
      <c r="BS97" s="91"/>
    </row>
    <row r="98" spans="2:71" x14ac:dyDescent="0.2">
      <c r="B98" s="85"/>
      <c r="C98" s="86"/>
      <c r="D98" s="6"/>
      <c r="F98" s="3"/>
      <c r="G98" s="3"/>
      <c r="H98" s="40"/>
      <c r="I98" s="84"/>
      <c r="J98" s="70"/>
      <c r="K98" s="70"/>
      <c r="L98" s="70"/>
      <c r="M98" s="70"/>
      <c r="N98" s="84"/>
      <c r="O98" s="84"/>
      <c r="P98" s="84"/>
      <c r="Q98" s="40"/>
      <c r="R98" s="178"/>
      <c r="S98" s="178"/>
      <c r="T98" s="84"/>
      <c r="U98" s="178"/>
      <c r="V98" s="84"/>
      <c r="W98" s="75"/>
      <c r="X98" s="75"/>
      <c r="Y98" s="75"/>
      <c r="Z98" s="75"/>
      <c r="AA98" s="74"/>
      <c r="AB98" s="89"/>
      <c r="AC98" s="84"/>
      <c r="AD98" s="78"/>
      <c r="AE98" s="78"/>
      <c r="AF98" s="78"/>
      <c r="AG98" s="78"/>
      <c r="AH98" s="78"/>
      <c r="AI98" s="89"/>
      <c r="AJ98" s="84"/>
      <c r="AK98" s="78"/>
      <c r="AL98" s="78"/>
      <c r="AM98" s="78"/>
      <c r="AN98" s="89"/>
      <c r="AO98" s="84"/>
      <c r="AP98" s="78"/>
      <c r="AQ98" s="78"/>
      <c r="AR98" s="78"/>
      <c r="AS98" s="78"/>
      <c r="AT98" s="78"/>
      <c r="AU98" s="89"/>
      <c r="AV98" s="84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91"/>
      <c r="BN98" s="91"/>
      <c r="BO98" s="91"/>
      <c r="BP98" s="91"/>
      <c r="BR98" s="91"/>
      <c r="BS98" s="91"/>
    </row>
    <row r="99" spans="2:71" x14ac:dyDescent="0.2">
      <c r="B99" s="85"/>
      <c r="C99" s="86"/>
      <c r="D99" s="6"/>
      <c r="F99" s="3"/>
      <c r="G99" s="3"/>
      <c r="H99" s="40"/>
      <c r="I99" s="84"/>
      <c r="J99" s="70"/>
      <c r="K99" s="70"/>
      <c r="L99" s="70"/>
      <c r="M99" s="70"/>
      <c r="N99" s="84"/>
      <c r="O99" s="84"/>
      <c r="P99" s="84"/>
      <c r="Q99" s="40"/>
      <c r="R99" s="178"/>
      <c r="S99" s="178"/>
      <c r="T99" s="84"/>
      <c r="U99" s="178"/>
      <c r="V99" s="84"/>
      <c r="W99" s="75"/>
      <c r="X99" s="75"/>
      <c r="Y99" s="75"/>
      <c r="Z99" s="75"/>
      <c r="AA99" s="74"/>
      <c r="AB99" s="89"/>
      <c r="AC99" s="84"/>
      <c r="AD99" s="78"/>
      <c r="AE99" s="78"/>
      <c r="AF99" s="78"/>
      <c r="AG99" s="78"/>
      <c r="AH99" s="78"/>
      <c r="AI99" s="89"/>
      <c r="AJ99" s="84"/>
      <c r="AK99" s="78"/>
      <c r="AL99" s="78"/>
      <c r="AM99" s="78"/>
      <c r="AN99" s="89"/>
      <c r="AO99" s="84"/>
      <c r="AP99" s="78"/>
      <c r="AQ99" s="78"/>
      <c r="AR99" s="78"/>
      <c r="AS99" s="78"/>
      <c r="AT99" s="78"/>
      <c r="AU99" s="89"/>
      <c r="AV99" s="84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91"/>
      <c r="BN99" s="91"/>
      <c r="BO99" s="91"/>
      <c r="BP99" s="91"/>
      <c r="BR99" s="91"/>
      <c r="BS99" s="91"/>
    </row>
    <row r="100" spans="2:71" x14ac:dyDescent="0.2">
      <c r="B100" s="85"/>
      <c r="C100" s="86"/>
      <c r="D100" s="6"/>
      <c r="F100" s="3"/>
      <c r="G100" s="3"/>
      <c r="H100" s="40"/>
      <c r="I100" s="84"/>
      <c r="J100" s="70"/>
      <c r="K100" s="70"/>
      <c r="L100" s="70"/>
      <c r="M100" s="70"/>
      <c r="N100" s="84"/>
      <c r="O100" s="84"/>
      <c r="P100" s="84"/>
      <c r="Q100" s="40"/>
      <c r="R100" s="178"/>
      <c r="S100" s="178"/>
      <c r="T100" s="84"/>
      <c r="U100" s="178"/>
      <c r="V100" s="84"/>
      <c r="W100" s="75"/>
      <c r="X100" s="75"/>
      <c r="Y100" s="75"/>
      <c r="Z100" s="75"/>
      <c r="AA100" s="74"/>
      <c r="AB100" s="89"/>
      <c r="AC100" s="84"/>
      <c r="AD100" s="78"/>
      <c r="AE100" s="78"/>
      <c r="AF100" s="78"/>
      <c r="AG100" s="78"/>
      <c r="AH100" s="78"/>
      <c r="AI100" s="89"/>
      <c r="AJ100" s="84"/>
      <c r="AK100" s="78"/>
      <c r="AL100" s="78"/>
      <c r="AM100" s="78"/>
      <c r="AN100" s="89"/>
      <c r="AO100" s="84"/>
      <c r="AP100" s="78"/>
      <c r="AQ100" s="78"/>
      <c r="AR100" s="78"/>
      <c r="AS100" s="78"/>
      <c r="AT100" s="78"/>
      <c r="AU100" s="89"/>
      <c r="AV100" s="84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91"/>
      <c r="BN100" s="91"/>
      <c r="BO100" s="91"/>
      <c r="BP100" s="91"/>
      <c r="BR100" s="91"/>
      <c r="BS100" s="91"/>
    </row>
    <row r="101" spans="2:71" x14ac:dyDescent="0.2">
      <c r="B101" s="85"/>
      <c r="C101" s="86"/>
      <c r="D101" s="6"/>
      <c r="F101" s="3"/>
      <c r="G101" s="3"/>
      <c r="H101" s="40"/>
      <c r="I101" s="84"/>
      <c r="J101" s="70"/>
      <c r="K101" s="70"/>
      <c r="L101" s="70"/>
      <c r="M101" s="70"/>
      <c r="N101" s="84"/>
      <c r="O101" s="84"/>
      <c r="P101" s="84"/>
      <c r="Q101" s="40"/>
      <c r="R101" s="178"/>
      <c r="S101" s="178"/>
      <c r="T101" s="84"/>
      <c r="U101" s="178"/>
      <c r="V101" s="84"/>
      <c r="W101" s="75"/>
      <c r="X101" s="75"/>
      <c r="Y101" s="75"/>
      <c r="Z101" s="75"/>
      <c r="AA101" s="74"/>
      <c r="AB101" s="89"/>
      <c r="AC101" s="84"/>
      <c r="AD101" s="78"/>
      <c r="AE101" s="78"/>
      <c r="AF101" s="78"/>
      <c r="AG101" s="78"/>
      <c r="AH101" s="78"/>
      <c r="AI101" s="89"/>
      <c r="AJ101" s="84"/>
      <c r="AK101" s="78"/>
      <c r="AL101" s="78"/>
      <c r="AM101" s="78"/>
      <c r="AN101" s="89"/>
      <c r="AO101" s="84"/>
      <c r="AP101" s="78"/>
      <c r="AQ101" s="78"/>
      <c r="AR101" s="78"/>
      <c r="AS101" s="78"/>
      <c r="AT101" s="78"/>
      <c r="AU101" s="89"/>
      <c r="AV101" s="84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91"/>
      <c r="BN101" s="91"/>
      <c r="BO101" s="91"/>
      <c r="BP101" s="91"/>
      <c r="BR101" s="91"/>
      <c r="BS101" s="91"/>
    </row>
    <row r="102" spans="2:71" x14ac:dyDescent="0.2">
      <c r="B102" s="85"/>
      <c r="C102" s="86"/>
      <c r="D102" s="6"/>
      <c r="F102" s="3"/>
      <c r="G102" s="3"/>
      <c r="H102" s="40"/>
      <c r="I102" s="84"/>
      <c r="J102" s="70"/>
      <c r="K102" s="70"/>
      <c r="L102" s="70"/>
      <c r="M102" s="70"/>
      <c r="N102" s="84"/>
      <c r="O102" s="84"/>
      <c r="P102" s="84"/>
      <c r="Q102" s="40"/>
      <c r="R102" s="178"/>
      <c r="S102" s="178"/>
      <c r="T102" s="84"/>
      <c r="U102" s="178"/>
      <c r="V102" s="84"/>
      <c r="W102" s="75"/>
      <c r="X102" s="75"/>
      <c r="Y102" s="75"/>
      <c r="Z102" s="75"/>
      <c r="AA102" s="74"/>
      <c r="AB102" s="89"/>
      <c r="AC102" s="84"/>
      <c r="AD102" s="78"/>
      <c r="AE102" s="78"/>
      <c r="AF102" s="78"/>
      <c r="AG102" s="78"/>
      <c r="AH102" s="78"/>
      <c r="AI102" s="89"/>
      <c r="AJ102" s="84"/>
      <c r="AK102" s="78"/>
      <c r="AL102" s="78"/>
      <c r="AM102" s="78"/>
      <c r="AN102" s="89"/>
      <c r="AO102" s="84"/>
      <c r="AP102" s="78"/>
      <c r="AQ102" s="78"/>
      <c r="AR102" s="78"/>
      <c r="AS102" s="78"/>
      <c r="AT102" s="78"/>
      <c r="AU102" s="89"/>
      <c r="AV102" s="84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91"/>
      <c r="BN102" s="91"/>
      <c r="BO102" s="91"/>
      <c r="BP102" s="91"/>
      <c r="BR102" s="91"/>
      <c r="BS102" s="91"/>
    </row>
    <row r="103" spans="2:71" x14ac:dyDescent="0.2">
      <c r="B103" s="85"/>
      <c r="C103" s="86"/>
      <c r="D103" s="6"/>
      <c r="F103" s="3"/>
      <c r="G103" s="3"/>
      <c r="H103" s="40"/>
      <c r="I103" s="84"/>
      <c r="J103" s="70"/>
      <c r="K103" s="70"/>
      <c r="L103" s="70"/>
      <c r="M103" s="70"/>
      <c r="N103" s="84"/>
      <c r="O103" s="84"/>
      <c r="P103" s="84"/>
      <c r="Q103" s="40"/>
      <c r="R103" s="178"/>
      <c r="S103" s="178"/>
      <c r="T103" s="84"/>
      <c r="U103" s="178"/>
      <c r="V103" s="84"/>
      <c r="W103" s="75"/>
      <c r="X103" s="75"/>
      <c r="Y103" s="75"/>
      <c r="Z103" s="75"/>
      <c r="AA103" s="74"/>
      <c r="AB103" s="89"/>
      <c r="AC103" s="84"/>
      <c r="AD103" s="78"/>
      <c r="AE103" s="78"/>
      <c r="AF103" s="78"/>
      <c r="AG103" s="78"/>
      <c r="AH103" s="78"/>
      <c r="AI103" s="89"/>
      <c r="AJ103" s="84"/>
      <c r="AK103" s="78"/>
      <c r="AL103" s="78"/>
      <c r="AM103" s="78"/>
      <c r="AN103" s="89"/>
      <c r="AO103" s="84"/>
      <c r="AP103" s="78"/>
      <c r="AQ103" s="78"/>
      <c r="AR103" s="78"/>
      <c r="AS103" s="78"/>
      <c r="AT103" s="78"/>
      <c r="AU103" s="89"/>
      <c r="AV103" s="84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91"/>
      <c r="BN103" s="91"/>
      <c r="BO103" s="91"/>
      <c r="BP103" s="91"/>
      <c r="BR103" s="91"/>
      <c r="BS103" s="91"/>
    </row>
    <row r="104" spans="2:71" x14ac:dyDescent="0.2">
      <c r="B104" s="85"/>
      <c r="C104" s="86"/>
      <c r="D104" s="6"/>
      <c r="F104" s="3"/>
      <c r="G104" s="3"/>
      <c r="H104" s="40"/>
      <c r="I104" s="84"/>
      <c r="J104" s="70"/>
      <c r="K104" s="70"/>
      <c r="L104" s="70"/>
      <c r="M104" s="70"/>
      <c r="N104" s="84"/>
      <c r="O104" s="84"/>
      <c r="P104" s="84"/>
      <c r="Q104" s="40"/>
      <c r="R104" s="178"/>
      <c r="S104" s="178"/>
      <c r="T104" s="84"/>
      <c r="U104" s="178"/>
      <c r="V104" s="84"/>
      <c r="W104" s="75"/>
      <c r="X104" s="75"/>
      <c r="Y104" s="75"/>
      <c r="Z104" s="75"/>
      <c r="AA104" s="74"/>
      <c r="AB104" s="89"/>
      <c r="AC104" s="84"/>
      <c r="AD104" s="78"/>
      <c r="AE104" s="78"/>
      <c r="AF104" s="78"/>
      <c r="AG104" s="78"/>
      <c r="AH104" s="78"/>
      <c r="AI104" s="89"/>
      <c r="AJ104" s="84"/>
      <c r="AK104" s="78"/>
      <c r="AL104" s="78"/>
      <c r="AM104" s="78"/>
      <c r="AN104" s="89"/>
      <c r="AO104" s="84"/>
      <c r="AP104" s="78"/>
      <c r="AQ104" s="78"/>
      <c r="AR104" s="78"/>
      <c r="AS104" s="78"/>
      <c r="AT104" s="78"/>
      <c r="AU104" s="89"/>
      <c r="AV104" s="84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91"/>
      <c r="BN104" s="91"/>
      <c r="BO104" s="91"/>
      <c r="BP104" s="91"/>
      <c r="BR104" s="91"/>
      <c r="BS104" s="91"/>
    </row>
    <row r="105" spans="2:71" x14ac:dyDescent="0.2">
      <c r="B105" s="85"/>
      <c r="C105" s="86"/>
      <c r="D105" s="6"/>
      <c r="F105" s="3"/>
      <c r="G105" s="3"/>
      <c r="H105" s="40"/>
      <c r="I105" s="84"/>
      <c r="J105" s="70"/>
      <c r="K105" s="70"/>
      <c r="L105" s="70"/>
      <c r="M105" s="70"/>
      <c r="N105" s="84"/>
      <c r="O105" s="84"/>
      <c r="P105" s="84"/>
      <c r="Q105" s="40"/>
      <c r="R105" s="178"/>
      <c r="S105" s="178"/>
      <c r="T105" s="84"/>
      <c r="U105" s="178"/>
      <c r="V105" s="84"/>
      <c r="W105" s="75"/>
      <c r="X105" s="75"/>
      <c r="Y105" s="75"/>
      <c r="Z105" s="75"/>
      <c r="AA105" s="74"/>
      <c r="AB105" s="89"/>
      <c r="AC105" s="84"/>
      <c r="AD105" s="78"/>
      <c r="AE105" s="78"/>
      <c r="AF105" s="78"/>
      <c r="AG105" s="78"/>
      <c r="AH105" s="78"/>
      <c r="AI105" s="89"/>
      <c r="AJ105" s="84"/>
      <c r="AK105" s="78"/>
      <c r="AL105" s="78"/>
      <c r="AM105" s="78"/>
      <c r="AN105" s="89"/>
      <c r="AO105" s="84"/>
      <c r="AP105" s="78"/>
      <c r="AQ105" s="78"/>
      <c r="AR105" s="78"/>
      <c r="AS105" s="78"/>
      <c r="AT105" s="78"/>
      <c r="AU105" s="89"/>
      <c r="AV105" s="84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91"/>
      <c r="BN105" s="91"/>
      <c r="BO105" s="91"/>
      <c r="BP105" s="91"/>
      <c r="BR105" s="91"/>
      <c r="BS105" s="91"/>
    </row>
    <row r="106" spans="2:71" x14ac:dyDescent="0.2">
      <c r="B106" s="85"/>
      <c r="C106" s="86"/>
      <c r="D106" s="6"/>
      <c r="F106" s="3"/>
      <c r="G106" s="3"/>
      <c r="H106" s="40"/>
      <c r="I106" s="84"/>
      <c r="J106" s="70"/>
      <c r="K106" s="70"/>
      <c r="L106" s="70"/>
      <c r="M106" s="70"/>
      <c r="N106" s="84"/>
      <c r="O106" s="84"/>
      <c r="P106" s="84"/>
      <c r="Q106" s="40"/>
      <c r="R106" s="178"/>
      <c r="S106" s="178"/>
      <c r="T106" s="84"/>
      <c r="U106" s="178"/>
      <c r="V106" s="84"/>
      <c r="W106" s="75"/>
      <c r="X106" s="75"/>
      <c r="Y106" s="75"/>
      <c r="Z106" s="75"/>
      <c r="AA106" s="74"/>
      <c r="AB106" s="89"/>
      <c r="AC106" s="84"/>
      <c r="AD106" s="78"/>
      <c r="AE106" s="78"/>
      <c r="AF106" s="78"/>
      <c r="AG106" s="78"/>
      <c r="AH106" s="78"/>
      <c r="AI106" s="89"/>
      <c r="AJ106" s="84"/>
      <c r="AK106" s="78"/>
      <c r="AL106" s="78"/>
      <c r="AM106" s="78"/>
      <c r="AN106" s="89"/>
      <c r="AO106" s="84"/>
      <c r="AP106" s="78"/>
      <c r="AQ106" s="78"/>
      <c r="AR106" s="78"/>
      <c r="AS106" s="78"/>
      <c r="AT106" s="78"/>
      <c r="AU106" s="89"/>
      <c r="AV106" s="84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91"/>
      <c r="BN106" s="91"/>
      <c r="BO106" s="91"/>
      <c r="BP106" s="91"/>
      <c r="BR106" s="91"/>
      <c r="BS106" s="91"/>
    </row>
    <row r="107" spans="2:71" x14ac:dyDescent="0.2">
      <c r="B107" s="85"/>
      <c r="C107" s="86"/>
      <c r="D107" s="6"/>
      <c r="F107" s="3"/>
      <c r="G107" s="3"/>
      <c r="H107" s="40"/>
      <c r="I107" s="84"/>
      <c r="J107" s="70"/>
      <c r="K107" s="70"/>
      <c r="L107" s="70"/>
      <c r="M107" s="70"/>
      <c r="N107" s="84"/>
      <c r="O107" s="84"/>
      <c r="P107" s="84"/>
      <c r="Q107" s="40"/>
      <c r="R107" s="178"/>
      <c r="S107" s="178"/>
      <c r="T107" s="84"/>
      <c r="U107" s="178"/>
      <c r="V107" s="84"/>
      <c r="W107" s="75"/>
      <c r="X107" s="75"/>
      <c r="Y107" s="75"/>
      <c r="Z107" s="75"/>
      <c r="AA107" s="74"/>
      <c r="AB107" s="89"/>
      <c r="AC107" s="84"/>
      <c r="AD107" s="78"/>
      <c r="AE107" s="78"/>
      <c r="AF107" s="78"/>
      <c r="AG107" s="78"/>
      <c r="AH107" s="78"/>
      <c r="AI107" s="89"/>
      <c r="AJ107" s="84"/>
      <c r="AK107" s="78"/>
      <c r="AL107" s="78"/>
      <c r="AM107" s="78"/>
      <c r="AN107" s="89"/>
      <c r="AO107" s="84"/>
      <c r="AP107" s="78"/>
      <c r="AQ107" s="78"/>
      <c r="AR107" s="78"/>
      <c r="AS107" s="78"/>
      <c r="AT107" s="78"/>
      <c r="AU107" s="89"/>
      <c r="AV107" s="84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91"/>
      <c r="BN107" s="91"/>
      <c r="BO107" s="91"/>
      <c r="BP107" s="91"/>
      <c r="BR107" s="91"/>
      <c r="BS107" s="91"/>
    </row>
    <row r="108" spans="2:71" x14ac:dyDescent="0.2">
      <c r="B108" s="85"/>
      <c r="C108" s="86"/>
      <c r="D108" s="6"/>
      <c r="F108" s="3"/>
      <c r="G108" s="3"/>
      <c r="H108" s="40"/>
      <c r="I108" s="84"/>
      <c r="J108" s="70"/>
      <c r="K108" s="70"/>
      <c r="L108" s="70"/>
      <c r="M108" s="70"/>
      <c r="N108" s="84"/>
      <c r="O108" s="84"/>
      <c r="P108" s="84"/>
      <c r="Q108" s="40"/>
      <c r="R108" s="178"/>
      <c r="S108" s="178"/>
      <c r="T108" s="84"/>
      <c r="U108" s="178"/>
      <c r="V108" s="84"/>
      <c r="W108" s="75"/>
      <c r="X108" s="75"/>
      <c r="Y108" s="75"/>
      <c r="Z108" s="75"/>
      <c r="AA108" s="74"/>
      <c r="AB108" s="89"/>
      <c r="AC108" s="84"/>
      <c r="AD108" s="78"/>
      <c r="AE108" s="78"/>
      <c r="AF108" s="78"/>
      <c r="AG108" s="78"/>
      <c r="AH108" s="78"/>
      <c r="AI108" s="89"/>
      <c r="AJ108" s="84"/>
      <c r="AK108" s="78"/>
      <c r="AL108" s="78"/>
      <c r="AM108" s="78"/>
      <c r="AN108" s="89"/>
      <c r="AO108" s="84"/>
      <c r="AP108" s="78"/>
      <c r="AQ108" s="78"/>
      <c r="AR108" s="78"/>
      <c r="AS108" s="78"/>
      <c r="AT108" s="78"/>
      <c r="AU108" s="89"/>
      <c r="AV108" s="84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91"/>
      <c r="BN108" s="91"/>
      <c r="BO108" s="91"/>
      <c r="BP108" s="91"/>
      <c r="BR108" s="91"/>
      <c r="BS108" s="91"/>
    </row>
    <row r="109" spans="2:71" x14ac:dyDescent="0.2">
      <c r="B109" s="85"/>
      <c r="C109" s="86"/>
      <c r="D109" s="6"/>
      <c r="F109" s="3"/>
      <c r="G109" s="3"/>
      <c r="H109" s="40"/>
      <c r="I109" s="84"/>
      <c r="J109" s="70"/>
      <c r="K109" s="70"/>
      <c r="L109" s="70"/>
      <c r="M109" s="70"/>
      <c r="N109" s="84"/>
      <c r="O109" s="84"/>
      <c r="P109" s="84"/>
      <c r="Q109" s="40"/>
      <c r="R109" s="178"/>
      <c r="S109" s="178"/>
      <c r="T109" s="84"/>
      <c r="U109" s="178"/>
      <c r="V109" s="84"/>
      <c r="W109" s="75"/>
      <c r="X109" s="75"/>
      <c r="Y109" s="75"/>
      <c r="Z109" s="75"/>
      <c r="AA109" s="74"/>
      <c r="AB109" s="89"/>
      <c r="AC109" s="84"/>
      <c r="AD109" s="78"/>
      <c r="AE109" s="78"/>
      <c r="AF109" s="78"/>
      <c r="AG109" s="78"/>
      <c r="AH109" s="78"/>
      <c r="AI109" s="89"/>
      <c r="AJ109" s="84"/>
      <c r="AK109" s="78"/>
      <c r="AL109" s="78"/>
      <c r="AM109" s="78"/>
      <c r="AN109" s="89"/>
      <c r="AO109" s="84"/>
      <c r="AP109" s="78"/>
      <c r="AQ109" s="78"/>
      <c r="AR109" s="78"/>
      <c r="AS109" s="78"/>
      <c r="AT109" s="78"/>
      <c r="AU109" s="89"/>
      <c r="AV109" s="84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91"/>
      <c r="BN109" s="91"/>
      <c r="BO109" s="91"/>
      <c r="BP109" s="91"/>
      <c r="BR109" s="91"/>
      <c r="BS109" s="91"/>
    </row>
    <row r="110" spans="2:71" x14ac:dyDescent="0.2">
      <c r="B110" s="85"/>
      <c r="C110" s="86"/>
      <c r="D110" s="6"/>
      <c r="F110" s="3"/>
      <c r="G110" s="3"/>
      <c r="H110" s="40"/>
      <c r="I110" s="84"/>
      <c r="J110" s="70"/>
      <c r="K110" s="70"/>
      <c r="L110" s="70"/>
      <c r="M110" s="70"/>
      <c r="N110" s="84"/>
      <c r="O110" s="84"/>
      <c r="P110" s="84"/>
      <c r="Q110" s="40"/>
      <c r="R110" s="178"/>
      <c r="S110" s="178"/>
      <c r="T110" s="84"/>
      <c r="U110" s="178"/>
      <c r="V110" s="84"/>
      <c r="W110" s="75"/>
      <c r="X110" s="75"/>
      <c r="Y110" s="75"/>
      <c r="Z110" s="75"/>
      <c r="AA110" s="74"/>
      <c r="AB110" s="89"/>
      <c r="AC110" s="84"/>
      <c r="AD110" s="78"/>
      <c r="AE110" s="78"/>
      <c r="AF110" s="78"/>
      <c r="AG110" s="78"/>
      <c r="AH110" s="78"/>
      <c r="AI110" s="89"/>
      <c r="AJ110" s="84"/>
      <c r="AK110" s="78"/>
      <c r="AL110" s="78"/>
      <c r="AM110" s="78"/>
      <c r="AN110" s="89"/>
      <c r="AO110" s="84"/>
      <c r="AP110" s="78"/>
      <c r="AQ110" s="78"/>
      <c r="AR110" s="78"/>
      <c r="AS110" s="78"/>
      <c r="AT110" s="78"/>
      <c r="AU110" s="89"/>
      <c r="AV110" s="84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91"/>
      <c r="BN110" s="91"/>
      <c r="BO110" s="91"/>
      <c r="BP110" s="91"/>
      <c r="BR110" s="91"/>
      <c r="BS110" s="91"/>
    </row>
    <row r="111" spans="2:71" x14ac:dyDescent="0.2">
      <c r="B111" s="85"/>
      <c r="C111" s="86"/>
      <c r="D111" s="6"/>
      <c r="F111" s="3"/>
      <c r="G111" s="3"/>
      <c r="H111" s="40"/>
      <c r="I111" s="84"/>
      <c r="J111" s="70"/>
      <c r="K111" s="70"/>
      <c r="L111" s="70"/>
      <c r="M111" s="70"/>
      <c r="N111" s="84"/>
      <c r="O111" s="84"/>
      <c r="P111" s="84"/>
      <c r="Q111" s="40"/>
      <c r="R111" s="178"/>
      <c r="S111" s="178"/>
      <c r="T111" s="84"/>
      <c r="U111" s="178"/>
      <c r="V111" s="84"/>
      <c r="W111" s="75"/>
      <c r="X111" s="75"/>
      <c r="Y111" s="75"/>
      <c r="Z111" s="75"/>
      <c r="AA111" s="74"/>
      <c r="AB111" s="89"/>
      <c r="AC111" s="84"/>
      <c r="AD111" s="78"/>
      <c r="AE111" s="78"/>
      <c r="AF111" s="78"/>
      <c r="AG111" s="78"/>
      <c r="AH111" s="78"/>
      <c r="AI111" s="89"/>
      <c r="AJ111" s="84"/>
      <c r="AK111" s="78"/>
      <c r="AL111" s="78"/>
      <c r="AM111" s="78"/>
      <c r="AN111" s="89"/>
      <c r="AO111" s="84"/>
      <c r="AP111" s="78"/>
      <c r="AQ111" s="78"/>
      <c r="AR111" s="78"/>
      <c r="AS111" s="78"/>
      <c r="AT111" s="78"/>
      <c r="AU111" s="89"/>
      <c r="AV111" s="84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91"/>
      <c r="BN111" s="91"/>
      <c r="BO111" s="91"/>
      <c r="BP111" s="91"/>
      <c r="BR111" s="91"/>
      <c r="BS111" s="91"/>
    </row>
    <row r="112" spans="2:71" x14ac:dyDescent="0.2">
      <c r="B112" s="85"/>
      <c r="C112" s="86"/>
      <c r="D112" s="6"/>
      <c r="F112" s="3"/>
      <c r="G112" s="3"/>
      <c r="H112" s="40"/>
      <c r="I112" s="84"/>
      <c r="J112" s="70"/>
      <c r="K112" s="70"/>
      <c r="L112" s="70"/>
      <c r="M112" s="70"/>
      <c r="N112" s="84"/>
      <c r="O112" s="84"/>
      <c r="P112" s="84"/>
      <c r="Q112" s="40"/>
      <c r="R112" s="178"/>
      <c r="S112" s="178"/>
      <c r="T112" s="84"/>
      <c r="U112" s="178"/>
      <c r="V112" s="84"/>
      <c r="W112" s="75"/>
      <c r="X112" s="75"/>
      <c r="Y112" s="75"/>
      <c r="Z112" s="75"/>
      <c r="AA112" s="74"/>
      <c r="AB112" s="89"/>
      <c r="AC112" s="84"/>
      <c r="AD112" s="78"/>
      <c r="AE112" s="78"/>
      <c r="AF112" s="78"/>
      <c r="AG112" s="78"/>
      <c r="AH112" s="78"/>
      <c r="AI112" s="89"/>
      <c r="AJ112" s="84"/>
      <c r="AK112" s="78"/>
      <c r="AL112" s="78"/>
      <c r="AM112" s="78"/>
      <c r="AN112" s="89"/>
      <c r="AO112" s="84"/>
      <c r="AP112" s="78"/>
      <c r="AQ112" s="78"/>
      <c r="AR112" s="78"/>
      <c r="AS112" s="78"/>
      <c r="AT112" s="78"/>
      <c r="AU112" s="89"/>
      <c r="AV112" s="84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91"/>
      <c r="BN112" s="91"/>
      <c r="BO112" s="91"/>
      <c r="BP112" s="91"/>
      <c r="BR112" s="91"/>
      <c r="BS112" s="91"/>
    </row>
    <row r="113" spans="2:71" x14ac:dyDescent="0.2">
      <c r="B113" s="85"/>
      <c r="C113" s="86"/>
      <c r="D113" s="6"/>
      <c r="F113" s="84"/>
      <c r="G113" s="84"/>
      <c r="H113" s="40"/>
      <c r="I113" s="70"/>
      <c r="J113" s="70"/>
      <c r="K113" s="70"/>
      <c r="L113" s="70"/>
      <c r="M113" s="70"/>
      <c r="N113" s="84"/>
      <c r="O113" s="84"/>
      <c r="P113" s="84"/>
      <c r="Q113" s="40"/>
      <c r="R113" s="178"/>
      <c r="S113" s="178"/>
      <c r="T113" s="84"/>
      <c r="U113" s="178"/>
      <c r="V113" s="84"/>
      <c r="W113" s="75"/>
      <c r="X113" s="75"/>
      <c r="Y113" s="75"/>
      <c r="Z113" s="75"/>
      <c r="AA113" s="74"/>
      <c r="AB113" s="89"/>
      <c r="AC113" s="84"/>
      <c r="AD113" s="78"/>
      <c r="AE113" s="78"/>
      <c r="AF113" s="78"/>
      <c r="AG113" s="78"/>
      <c r="AH113" s="78"/>
      <c r="AI113" s="89"/>
      <c r="AJ113" s="84"/>
      <c r="AK113" s="78"/>
      <c r="AL113" s="78"/>
      <c r="AM113" s="78"/>
      <c r="AN113" s="89"/>
      <c r="AO113" s="84"/>
      <c r="AP113" s="78"/>
      <c r="AQ113" s="78"/>
      <c r="AR113" s="78"/>
      <c r="AS113" s="78"/>
      <c r="AT113" s="78"/>
      <c r="AU113" s="89"/>
      <c r="AV113" s="84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91"/>
      <c r="BN113" s="91"/>
      <c r="BO113" s="91"/>
      <c r="BP113" s="91"/>
      <c r="BR113" s="91"/>
      <c r="BS113" s="91"/>
    </row>
    <row r="114" spans="2:71" x14ac:dyDescent="0.2">
      <c r="B114" s="85"/>
      <c r="C114" s="86"/>
      <c r="D114" s="6"/>
      <c r="F114" s="84"/>
      <c r="G114" s="84"/>
      <c r="H114" s="40"/>
      <c r="I114" s="70"/>
      <c r="J114" s="70"/>
      <c r="K114" s="70"/>
      <c r="L114" s="70"/>
      <c r="M114" s="70"/>
      <c r="N114" s="84"/>
      <c r="O114" s="84"/>
      <c r="P114" s="84"/>
      <c r="Q114" s="40"/>
      <c r="R114" s="178"/>
      <c r="S114" s="178"/>
      <c r="T114" s="84"/>
      <c r="U114" s="178"/>
      <c r="V114" s="84"/>
      <c r="W114" s="75"/>
      <c r="X114" s="75"/>
      <c r="Y114" s="75"/>
      <c r="Z114" s="75"/>
      <c r="AA114" s="74"/>
      <c r="AB114" s="89"/>
      <c r="AC114" s="84"/>
      <c r="AD114" s="78"/>
      <c r="AE114" s="78"/>
      <c r="AF114" s="78"/>
      <c r="AG114" s="78"/>
      <c r="AH114" s="78"/>
      <c r="AI114" s="89"/>
      <c r="AJ114" s="84"/>
      <c r="AK114" s="78"/>
      <c r="AL114" s="78"/>
      <c r="AM114" s="78"/>
      <c r="AN114" s="89"/>
      <c r="AO114" s="84"/>
      <c r="AP114" s="78"/>
      <c r="AQ114" s="78"/>
      <c r="AR114" s="78"/>
      <c r="AS114" s="78"/>
      <c r="AT114" s="78"/>
      <c r="AU114" s="89"/>
      <c r="AV114" s="84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91"/>
      <c r="BN114" s="91"/>
      <c r="BO114" s="91"/>
      <c r="BP114" s="91"/>
      <c r="BR114" s="91"/>
      <c r="BS114" s="91"/>
    </row>
    <row r="115" spans="2:71" x14ac:dyDescent="0.2">
      <c r="B115" s="85"/>
      <c r="C115" s="86"/>
      <c r="D115" s="6"/>
      <c r="F115" s="84"/>
      <c r="G115" s="84"/>
      <c r="H115" s="40"/>
      <c r="I115" s="70"/>
      <c r="J115" s="70"/>
      <c r="K115" s="70"/>
      <c r="L115" s="70"/>
      <c r="M115" s="70"/>
      <c r="N115" s="84"/>
      <c r="O115" s="84"/>
      <c r="P115" s="84"/>
      <c r="Q115" s="40"/>
      <c r="R115" s="178"/>
      <c r="S115" s="178"/>
      <c r="T115" s="84"/>
      <c r="U115" s="178"/>
      <c r="V115" s="84"/>
      <c r="W115" s="75"/>
      <c r="X115" s="75"/>
      <c r="Y115" s="75"/>
      <c r="Z115" s="75"/>
      <c r="AA115" s="74"/>
      <c r="AB115" s="89"/>
      <c r="AC115" s="84"/>
      <c r="AD115" s="78"/>
      <c r="AE115" s="78"/>
      <c r="AF115" s="78"/>
      <c r="AG115" s="78"/>
      <c r="AH115" s="78"/>
      <c r="AI115" s="89"/>
      <c r="AJ115" s="84"/>
      <c r="AK115" s="78"/>
      <c r="AL115" s="78"/>
      <c r="AM115" s="78"/>
      <c r="AN115" s="89"/>
      <c r="AO115" s="84"/>
      <c r="AP115" s="78"/>
      <c r="AQ115" s="78"/>
      <c r="AR115" s="78"/>
      <c r="AS115" s="78"/>
      <c r="AT115" s="78"/>
      <c r="AU115" s="89"/>
      <c r="AV115" s="84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91"/>
      <c r="BN115" s="91"/>
      <c r="BO115" s="91"/>
      <c r="BP115" s="91"/>
      <c r="BR115" s="91"/>
      <c r="BS115" s="91"/>
    </row>
    <row r="116" spans="2:71" x14ac:dyDescent="0.2">
      <c r="B116" s="85"/>
      <c r="C116" s="86"/>
      <c r="D116" s="6"/>
      <c r="F116" s="84"/>
      <c r="G116" s="84"/>
      <c r="H116" s="40"/>
      <c r="I116" s="70"/>
      <c r="J116" s="70"/>
      <c r="K116" s="70"/>
      <c r="L116" s="70"/>
      <c r="M116" s="70"/>
      <c r="N116" s="84"/>
      <c r="O116" s="84"/>
      <c r="P116" s="84"/>
      <c r="Q116" s="40"/>
      <c r="R116" s="178"/>
      <c r="S116" s="178"/>
      <c r="T116" s="84"/>
      <c r="U116" s="178"/>
      <c r="V116" s="84"/>
      <c r="W116" s="78"/>
      <c r="X116" s="78"/>
      <c r="Y116" s="78"/>
      <c r="Z116" s="78"/>
      <c r="AA116" s="171"/>
      <c r="AB116" s="89"/>
      <c r="AC116" s="84"/>
      <c r="AD116" s="78"/>
      <c r="AE116" s="78"/>
      <c r="AF116" s="78"/>
      <c r="AG116" s="78"/>
      <c r="AH116" s="78"/>
      <c r="AI116" s="89"/>
      <c r="AJ116" s="84"/>
      <c r="AK116" s="78"/>
      <c r="AL116" s="78"/>
      <c r="AM116" s="78"/>
      <c r="AN116" s="89"/>
      <c r="AO116" s="84"/>
      <c r="AP116" s="78"/>
      <c r="AQ116" s="78"/>
      <c r="AR116" s="78"/>
      <c r="AS116" s="78"/>
      <c r="AT116" s="78"/>
      <c r="AU116" s="89"/>
      <c r="AV116" s="84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91"/>
      <c r="BN116" s="91"/>
      <c r="BO116" s="91"/>
      <c r="BP116" s="91"/>
      <c r="BR116" s="91"/>
      <c r="BS116" s="91"/>
    </row>
    <row r="117" spans="2:71" x14ac:dyDescent="0.2">
      <c r="B117" s="85"/>
      <c r="C117" s="86"/>
      <c r="D117" s="6"/>
      <c r="F117" s="84"/>
      <c r="G117" s="84"/>
      <c r="H117" s="40"/>
      <c r="I117" s="70"/>
      <c r="J117" s="70"/>
      <c r="K117" s="70"/>
      <c r="L117" s="70"/>
      <c r="M117" s="70"/>
      <c r="N117" s="84"/>
      <c r="O117" s="84"/>
      <c r="P117" s="84"/>
      <c r="Q117" s="40"/>
      <c r="R117" s="178"/>
      <c r="S117" s="178"/>
      <c r="T117" s="84"/>
      <c r="U117" s="178"/>
      <c r="V117" s="84"/>
      <c r="W117" s="78"/>
      <c r="X117" s="78"/>
      <c r="Y117" s="78"/>
      <c r="Z117" s="78"/>
      <c r="AA117" s="171"/>
      <c r="AB117" s="89"/>
      <c r="AC117" s="84"/>
      <c r="AD117" s="78"/>
      <c r="AE117" s="78"/>
      <c r="AF117" s="78"/>
      <c r="AG117" s="78"/>
      <c r="AH117" s="78"/>
      <c r="AI117" s="89"/>
      <c r="AJ117" s="84"/>
      <c r="AK117" s="78"/>
      <c r="AL117" s="78"/>
      <c r="AM117" s="78"/>
      <c r="AN117" s="89"/>
      <c r="AO117" s="84"/>
      <c r="AP117" s="78"/>
      <c r="AQ117" s="78"/>
      <c r="AR117" s="78"/>
      <c r="AS117" s="78"/>
      <c r="AT117" s="78"/>
      <c r="AU117" s="89"/>
      <c r="AV117" s="84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91"/>
      <c r="BN117" s="91"/>
      <c r="BO117" s="91"/>
      <c r="BP117" s="91"/>
      <c r="BR117" s="91"/>
      <c r="BS117" s="91"/>
    </row>
    <row r="118" spans="2:71" x14ac:dyDescent="0.2">
      <c r="B118" s="85"/>
      <c r="C118" s="86"/>
      <c r="D118" s="6"/>
      <c r="F118" s="84"/>
      <c r="G118" s="84"/>
      <c r="H118" s="40"/>
      <c r="I118" s="70"/>
      <c r="J118" s="70"/>
      <c r="K118" s="70"/>
      <c r="L118" s="70"/>
      <c r="M118" s="70"/>
      <c r="N118" s="84"/>
      <c r="O118" s="84"/>
      <c r="P118" s="84"/>
      <c r="Q118" s="40"/>
      <c r="R118" s="178"/>
      <c r="S118" s="178"/>
      <c r="T118" s="84"/>
      <c r="U118" s="178"/>
      <c r="V118" s="84"/>
      <c r="W118" s="78"/>
      <c r="X118" s="78"/>
      <c r="Y118" s="78"/>
      <c r="Z118" s="78"/>
      <c r="AA118" s="171"/>
      <c r="AB118" s="89"/>
      <c r="AC118" s="84"/>
      <c r="AD118" s="78"/>
      <c r="AE118" s="78"/>
      <c r="AF118" s="78"/>
      <c r="AG118" s="78"/>
      <c r="AH118" s="78"/>
      <c r="AI118" s="89"/>
      <c r="AJ118" s="84"/>
      <c r="AK118" s="78"/>
      <c r="AL118" s="78"/>
      <c r="AM118" s="78"/>
      <c r="AN118" s="89"/>
      <c r="AO118" s="84"/>
      <c r="AP118" s="78"/>
      <c r="AQ118" s="78"/>
      <c r="AR118" s="78"/>
      <c r="AS118" s="78"/>
      <c r="AT118" s="78"/>
      <c r="AU118" s="89"/>
      <c r="AV118" s="84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91"/>
      <c r="BN118" s="91"/>
      <c r="BO118" s="91"/>
      <c r="BP118" s="91"/>
      <c r="BR118" s="91"/>
      <c r="BS118" s="91"/>
    </row>
    <row r="119" spans="2:71" x14ac:dyDescent="0.2">
      <c r="B119" s="85"/>
      <c r="C119" s="86"/>
      <c r="D119" s="6"/>
      <c r="F119" s="84"/>
      <c r="G119" s="84"/>
      <c r="H119" s="40"/>
      <c r="I119" s="70"/>
      <c r="J119" s="70"/>
      <c r="K119" s="70"/>
      <c r="L119" s="70"/>
      <c r="M119" s="70"/>
      <c r="N119" s="84"/>
      <c r="O119" s="84"/>
      <c r="P119" s="84"/>
      <c r="Q119" s="40"/>
      <c r="R119" s="178"/>
      <c r="S119" s="178"/>
      <c r="T119" s="84"/>
      <c r="U119" s="178"/>
      <c r="V119" s="84"/>
      <c r="W119" s="78"/>
      <c r="X119" s="78"/>
      <c r="Y119" s="78"/>
      <c r="Z119" s="78"/>
      <c r="AA119" s="171"/>
      <c r="AB119" s="89"/>
      <c r="AC119" s="84"/>
      <c r="AD119" s="78"/>
      <c r="AE119" s="78"/>
      <c r="AF119" s="78"/>
      <c r="AG119" s="78"/>
      <c r="AH119" s="78"/>
      <c r="AI119" s="89"/>
      <c r="AJ119" s="84"/>
      <c r="AK119" s="78"/>
      <c r="AL119" s="78"/>
      <c r="AM119" s="78"/>
      <c r="AN119" s="89"/>
      <c r="AO119" s="84"/>
      <c r="AP119" s="78"/>
      <c r="AQ119" s="78"/>
      <c r="AR119" s="78"/>
      <c r="AS119" s="78"/>
      <c r="AT119" s="78"/>
      <c r="AU119" s="89"/>
      <c r="AV119" s="84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91"/>
      <c r="BN119" s="91"/>
      <c r="BO119" s="91"/>
      <c r="BP119" s="91"/>
      <c r="BR119" s="91"/>
      <c r="BS119" s="91"/>
    </row>
    <row r="120" spans="2:71" x14ac:dyDescent="0.2">
      <c r="B120" s="85"/>
      <c r="C120" s="86"/>
      <c r="D120" s="6"/>
      <c r="F120" s="84"/>
      <c r="G120" s="84"/>
      <c r="H120" s="40"/>
      <c r="I120" s="70"/>
      <c r="J120" s="70"/>
      <c r="K120" s="70"/>
      <c r="L120" s="70"/>
      <c r="M120" s="70"/>
      <c r="N120" s="84"/>
      <c r="O120" s="84"/>
      <c r="P120" s="84"/>
      <c r="Q120" s="40"/>
      <c r="R120" s="178"/>
      <c r="S120" s="178"/>
      <c r="T120" s="84"/>
      <c r="U120" s="178"/>
      <c r="V120" s="84"/>
      <c r="W120" s="78"/>
      <c r="X120" s="78"/>
      <c r="Y120" s="78"/>
      <c r="Z120" s="78"/>
      <c r="AA120" s="171"/>
      <c r="AB120" s="89"/>
      <c r="AC120" s="84"/>
      <c r="AD120" s="78"/>
      <c r="AE120" s="78"/>
      <c r="AF120" s="78"/>
      <c r="AG120" s="78"/>
      <c r="AH120" s="78"/>
      <c r="AI120" s="89"/>
      <c r="AJ120" s="84"/>
      <c r="AK120" s="78"/>
      <c r="AL120" s="78"/>
      <c r="AM120" s="78"/>
      <c r="AN120" s="89"/>
      <c r="AO120" s="84"/>
      <c r="AP120" s="78"/>
      <c r="AQ120" s="78"/>
      <c r="AR120" s="78"/>
      <c r="AS120" s="78"/>
      <c r="AT120" s="78"/>
      <c r="AU120" s="89"/>
      <c r="AV120" s="84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91"/>
      <c r="BN120" s="91"/>
      <c r="BO120" s="91"/>
      <c r="BP120" s="91"/>
      <c r="BR120" s="91"/>
      <c r="BS120" s="91"/>
    </row>
    <row r="121" spans="2:71" x14ac:dyDescent="0.2">
      <c r="B121" s="85"/>
      <c r="C121" s="86"/>
      <c r="D121" s="6"/>
      <c r="F121" s="84"/>
      <c r="G121" s="84"/>
      <c r="H121" s="40"/>
      <c r="I121" s="70"/>
      <c r="J121" s="70"/>
      <c r="K121" s="70"/>
      <c r="L121" s="70"/>
      <c r="M121" s="70"/>
      <c r="N121" s="84"/>
      <c r="O121" s="84"/>
      <c r="P121" s="84"/>
      <c r="Q121" s="40"/>
      <c r="R121" s="178"/>
      <c r="S121" s="178"/>
      <c r="T121" s="84"/>
      <c r="U121" s="178"/>
      <c r="V121" s="84"/>
      <c r="W121" s="78"/>
      <c r="X121" s="78"/>
      <c r="Y121" s="78"/>
      <c r="Z121" s="78"/>
      <c r="AA121" s="171"/>
      <c r="AB121" s="89"/>
      <c r="AC121" s="84"/>
      <c r="AD121" s="78"/>
      <c r="AE121" s="78"/>
      <c r="AF121" s="78"/>
      <c r="AG121" s="78"/>
      <c r="AH121" s="78"/>
      <c r="AI121" s="89"/>
      <c r="AJ121" s="84"/>
      <c r="AK121" s="78"/>
      <c r="AL121" s="78"/>
      <c r="AM121" s="78"/>
      <c r="AN121" s="89"/>
      <c r="AO121" s="84"/>
      <c r="AP121" s="78"/>
      <c r="AQ121" s="78"/>
      <c r="AR121" s="78"/>
      <c r="AS121" s="78"/>
      <c r="AT121" s="78"/>
      <c r="AU121" s="89"/>
      <c r="AV121" s="84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91"/>
      <c r="BN121" s="91"/>
      <c r="BO121" s="91"/>
      <c r="BP121" s="91"/>
      <c r="BR121" s="91"/>
      <c r="BS121" s="91"/>
    </row>
    <row r="122" spans="2:71" x14ac:dyDescent="0.2">
      <c r="B122" s="85"/>
      <c r="C122" s="86"/>
      <c r="D122" s="6"/>
      <c r="F122" s="84"/>
      <c r="G122" s="84"/>
      <c r="H122" s="40"/>
      <c r="I122" s="70"/>
      <c r="J122" s="70"/>
      <c r="K122" s="70"/>
      <c r="L122" s="70"/>
      <c r="M122" s="70"/>
      <c r="N122" s="84"/>
      <c r="O122" s="84"/>
      <c r="P122" s="84"/>
      <c r="Q122" s="40"/>
      <c r="R122" s="178"/>
      <c r="S122" s="178"/>
      <c r="T122" s="84"/>
      <c r="U122" s="178"/>
      <c r="V122" s="84"/>
      <c r="W122" s="78"/>
      <c r="X122" s="78"/>
      <c r="Y122" s="78"/>
      <c r="Z122" s="78"/>
      <c r="AA122" s="171"/>
      <c r="AB122" s="89"/>
      <c r="AC122" s="84"/>
      <c r="AD122" s="78"/>
      <c r="AE122" s="78"/>
      <c r="AF122" s="78"/>
      <c r="AG122" s="78"/>
      <c r="AH122" s="78"/>
      <c r="AI122" s="89"/>
      <c r="AJ122" s="84"/>
      <c r="AK122" s="78"/>
      <c r="AL122" s="78"/>
      <c r="AM122" s="78"/>
      <c r="AN122" s="89"/>
      <c r="AO122" s="84"/>
      <c r="AP122" s="78"/>
      <c r="AQ122" s="78"/>
      <c r="AR122" s="78"/>
      <c r="AS122" s="78"/>
      <c r="AT122" s="78"/>
      <c r="AU122" s="89"/>
      <c r="AV122" s="84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91"/>
      <c r="BN122" s="91"/>
      <c r="BO122" s="91"/>
      <c r="BP122" s="91"/>
      <c r="BR122" s="91"/>
      <c r="BS122" s="91"/>
    </row>
    <row r="123" spans="2:71" x14ac:dyDescent="0.2">
      <c r="B123" s="85"/>
      <c r="C123" s="86"/>
      <c r="D123" s="6"/>
      <c r="F123" s="84"/>
      <c r="G123" s="84"/>
      <c r="H123" s="40"/>
      <c r="I123" s="70"/>
      <c r="J123" s="70"/>
      <c r="K123" s="70"/>
      <c r="L123" s="70"/>
      <c r="M123" s="70"/>
      <c r="N123" s="84"/>
      <c r="O123" s="84"/>
      <c r="P123" s="84"/>
      <c r="Q123" s="40"/>
      <c r="R123" s="178"/>
      <c r="S123" s="178"/>
      <c r="T123" s="84"/>
      <c r="U123" s="178"/>
      <c r="V123" s="84"/>
      <c r="W123" s="78"/>
      <c r="X123" s="78"/>
      <c r="Y123" s="78"/>
      <c r="Z123" s="78"/>
      <c r="AA123" s="171"/>
      <c r="AB123" s="89"/>
      <c r="AC123" s="84"/>
      <c r="AD123" s="78"/>
      <c r="AE123" s="78"/>
      <c r="AF123" s="78"/>
      <c r="AG123" s="78"/>
      <c r="AH123" s="78"/>
      <c r="AI123" s="89"/>
      <c r="AJ123" s="84"/>
      <c r="AK123" s="78"/>
      <c r="AL123" s="78"/>
      <c r="AM123" s="78"/>
      <c r="AN123" s="89"/>
      <c r="AO123" s="84"/>
      <c r="AP123" s="78"/>
      <c r="AQ123" s="78"/>
      <c r="AR123" s="78"/>
      <c r="AS123" s="78"/>
      <c r="AT123" s="78"/>
      <c r="AU123" s="89"/>
      <c r="AV123" s="84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91"/>
      <c r="BN123" s="91"/>
      <c r="BO123" s="91"/>
      <c r="BP123" s="91"/>
      <c r="BR123" s="91"/>
      <c r="BS123" s="91"/>
    </row>
    <row r="124" spans="2:71" x14ac:dyDescent="0.2">
      <c r="B124" s="85"/>
      <c r="C124" s="86"/>
      <c r="D124" s="6"/>
      <c r="F124" s="84"/>
      <c r="G124" s="84"/>
      <c r="H124" s="40"/>
      <c r="I124" s="70"/>
      <c r="J124" s="70"/>
      <c r="K124" s="70"/>
      <c r="L124" s="70"/>
      <c r="M124" s="70"/>
      <c r="N124" s="84"/>
      <c r="O124" s="84"/>
      <c r="P124" s="84"/>
      <c r="Q124" s="40"/>
      <c r="R124" s="178"/>
      <c r="S124" s="178"/>
      <c r="T124" s="84"/>
      <c r="U124" s="178"/>
      <c r="V124" s="84"/>
      <c r="W124" s="78"/>
      <c r="X124" s="78"/>
      <c r="Y124" s="78"/>
      <c r="Z124" s="78"/>
      <c r="AA124" s="171"/>
      <c r="AB124" s="89"/>
      <c r="AC124" s="84"/>
      <c r="AD124" s="78"/>
      <c r="AE124" s="78"/>
      <c r="AF124" s="78"/>
      <c r="AG124" s="78"/>
      <c r="AH124" s="78"/>
      <c r="AI124" s="89"/>
      <c r="AJ124" s="84"/>
      <c r="AK124" s="78"/>
      <c r="AL124" s="78"/>
      <c r="AM124" s="78"/>
      <c r="AN124" s="89"/>
      <c r="AO124" s="84"/>
      <c r="AP124" s="78"/>
      <c r="AQ124" s="78"/>
      <c r="AR124" s="78"/>
      <c r="AS124" s="78"/>
      <c r="AT124" s="78"/>
      <c r="AU124" s="89"/>
      <c r="AV124" s="84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91"/>
      <c r="BN124" s="91"/>
      <c r="BO124" s="91"/>
      <c r="BP124" s="91"/>
      <c r="BR124" s="91"/>
      <c r="BS124" s="91"/>
    </row>
    <row r="125" spans="2:71" x14ac:dyDescent="0.2">
      <c r="B125" s="85"/>
      <c r="C125" s="86"/>
      <c r="D125" s="6"/>
      <c r="F125" s="84"/>
      <c r="G125" s="84"/>
      <c r="H125" s="40"/>
      <c r="I125" s="70"/>
      <c r="J125" s="70"/>
      <c r="K125" s="70"/>
      <c r="L125" s="70"/>
      <c r="M125" s="70"/>
      <c r="N125" s="84"/>
      <c r="O125" s="84"/>
      <c r="P125" s="84"/>
      <c r="Q125" s="40"/>
      <c r="R125" s="178"/>
      <c r="S125" s="178"/>
      <c r="T125" s="84"/>
      <c r="U125" s="178"/>
      <c r="V125" s="84"/>
      <c r="W125" s="84"/>
      <c r="X125" s="84"/>
      <c r="Y125" s="84"/>
      <c r="Z125" s="84"/>
      <c r="AA125" s="150"/>
      <c r="AB125" s="89"/>
      <c r="AC125" s="84"/>
      <c r="AD125" s="84"/>
      <c r="AE125" s="84"/>
      <c r="AF125" s="84"/>
      <c r="AG125" s="84"/>
      <c r="AH125" s="84"/>
      <c r="AI125" s="89"/>
      <c r="AJ125" s="84"/>
      <c r="AK125" s="84"/>
      <c r="AL125" s="84"/>
      <c r="AM125" s="84"/>
      <c r="AN125" s="89"/>
      <c r="AO125" s="84"/>
      <c r="AP125" s="84"/>
      <c r="AQ125" s="84"/>
      <c r="AR125" s="84"/>
      <c r="AS125" s="84"/>
      <c r="AT125" s="84"/>
      <c r="AU125" s="89"/>
      <c r="AV125" s="84"/>
      <c r="AW125" s="84"/>
      <c r="AX125" s="84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84"/>
      <c r="BM125" s="91"/>
      <c r="BN125" s="91"/>
      <c r="BO125" s="91"/>
      <c r="BP125" s="91"/>
      <c r="BR125" s="91"/>
      <c r="BS125" s="91"/>
    </row>
    <row r="126" spans="2:71" x14ac:dyDescent="0.2">
      <c r="B126" s="173"/>
      <c r="C126" s="174"/>
      <c r="D126" s="174"/>
      <c r="F126" s="55"/>
      <c r="G126" s="55"/>
      <c r="H126" s="40"/>
      <c r="I126" s="55"/>
      <c r="J126" s="55"/>
      <c r="K126" s="55"/>
      <c r="L126" s="55"/>
      <c r="M126" s="55"/>
      <c r="N126" s="55"/>
      <c r="O126" s="55"/>
      <c r="P126" s="55"/>
      <c r="Q126" s="40"/>
      <c r="R126" s="175"/>
      <c r="S126" s="175"/>
      <c r="T126" s="55"/>
      <c r="U126" s="175"/>
      <c r="V126" s="55"/>
      <c r="W126" s="55"/>
      <c r="X126" s="55"/>
      <c r="Y126" s="55"/>
      <c r="Z126" s="55"/>
      <c r="AA126" s="179"/>
      <c r="AB126" s="176"/>
      <c r="AC126" s="55"/>
      <c r="AD126" s="55"/>
      <c r="AE126" s="55"/>
      <c r="AF126" s="55"/>
      <c r="AG126" s="55"/>
      <c r="AH126" s="55"/>
      <c r="AI126" s="176"/>
      <c r="AJ126" s="55"/>
      <c r="AK126" s="55"/>
      <c r="AL126" s="55"/>
      <c r="AM126" s="55"/>
      <c r="AN126" s="176"/>
      <c r="AO126" s="55"/>
      <c r="AP126" s="55"/>
      <c r="AQ126" s="55"/>
      <c r="AR126" s="55"/>
      <c r="AS126" s="55"/>
      <c r="AT126" s="55"/>
      <c r="AU126" s="176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177"/>
      <c r="BN126" s="177"/>
      <c r="BO126" s="177"/>
      <c r="BP126" s="177"/>
      <c r="BR126" s="177"/>
      <c r="BS126" s="177"/>
    </row>
    <row r="127" spans="2:71" x14ac:dyDescent="0.2">
      <c r="B127" s="85"/>
      <c r="C127" s="86"/>
      <c r="D127" s="6"/>
      <c r="F127" s="84"/>
      <c r="G127" s="84"/>
      <c r="H127" s="40"/>
      <c r="I127" s="70"/>
      <c r="J127" s="70"/>
      <c r="K127" s="70"/>
      <c r="L127" s="70"/>
      <c r="M127" s="70"/>
      <c r="N127" s="84"/>
      <c r="O127" s="84"/>
      <c r="P127" s="84"/>
      <c r="Q127" s="40"/>
      <c r="R127" s="178"/>
      <c r="S127" s="178"/>
      <c r="T127" s="84"/>
      <c r="U127" s="178"/>
      <c r="V127" s="84"/>
      <c r="W127" s="78"/>
      <c r="X127" s="78"/>
      <c r="Y127" s="78"/>
      <c r="Z127" s="78"/>
      <c r="AA127" s="171"/>
      <c r="AB127" s="89"/>
      <c r="AC127" s="84"/>
      <c r="AD127" s="78"/>
      <c r="AE127" s="78"/>
      <c r="AF127" s="78"/>
      <c r="AG127" s="78"/>
      <c r="AH127" s="78"/>
      <c r="AI127" s="89"/>
      <c r="AJ127" s="84"/>
      <c r="AK127" s="78"/>
      <c r="AL127" s="78"/>
      <c r="AM127" s="78"/>
      <c r="AN127" s="89"/>
      <c r="AO127" s="84"/>
      <c r="AP127" s="78"/>
      <c r="AQ127" s="78"/>
      <c r="AR127" s="78"/>
      <c r="AS127" s="78"/>
      <c r="AT127" s="78"/>
      <c r="AU127" s="89"/>
      <c r="AV127" s="84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91"/>
      <c r="BN127" s="91"/>
      <c r="BO127" s="91"/>
      <c r="BP127" s="91"/>
      <c r="BR127" s="91"/>
      <c r="BS127" s="91"/>
    </row>
    <row r="128" spans="2:71" x14ac:dyDescent="0.2">
      <c r="B128" s="85"/>
      <c r="C128" s="86"/>
      <c r="D128" s="6"/>
      <c r="F128" s="84"/>
      <c r="G128" s="84"/>
      <c r="H128" s="40"/>
      <c r="I128" s="70"/>
      <c r="J128" s="70"/>
      <c r="K128" s="70"/>
      <c r="L128" s="70"/>
      <c r="M128" s="70"/>
      <c r="N128" s="84"/>
      <c r="O128" s="84"/>
      <c r="P128" s="84"/>
      <c r="Q128" s="40"/>
      <c r="R128" s="178"/>
      <c r="S128" s="178"/>
      <c r="T128" s="84"/>
      <c r="U128" s="178"/>
      <c r="V128" s="84"/>
      <c r="W128" s="78"/>
      <c r="X128" s="78"/>
      <c r="Y128" s="78"/>
      <c r="Z128" s="78"/>
      <c r="AA128" s="171"/>
      <c r="AB128" s="89"/>
      <c r="AC128" s="84"/>
      <c r="AD128" s="78"/>
      <c r="AE128" s="78"/>
      <c r="AF128" s="78"/>
      <c r="AG128" s="78"/>
      <c r="AH128" s="78"/>
      <c r="AI128" s="89"/>
      <c r="AJ128" s="84"/>
      <c r="AK128" s="78"/>
      <c r="AL128" s="78"/>
      <c r="AM128" s="78"/>
      <c r="AN128" s="89"/>
      <c r="AO128" s="84"/>
      <c r="AP128" s="78"/>
      <c r="AQ128" s="78"/>
      <c r="AR128" s="78"/>
      <c r="AS128" s="78"/>
      <c r="AT128" s="78"/>
      <c r="AU128" s="89"/>
      <c r="AV128" s="84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91"/>
      <c r="BN128" s="91"/>
      <c r="BO128" s="91"/>
      <c r="BP128" s="91"/>
      <c r="BR128" s="91"/>
      <c r="BS128" s="91"/>
    </row>
    <row r="129" spans="2:71" x14ac:dyDescent="0.2">
      <c r="B129" s="85"/>
      <c r="C129" s="86"/>
      <c r="D129" s="6"/>
      <c r="F129" s="84"/>
      <c r="G129" s="84"/>
      <c r="H129" s="40"/>
      <c r="I129" s="70"/>
      <c r="J129" s="70"/>
      <c r="K129" s="70"/>
      <c r="L129" s="70"/>
      <c r="M129" s="70"/>
      <c r="N129" s="84"/>
      <c r="O129" s="84"/>
      <c r="P129" s="84"/>
      <c r="Q129" s="40"/>
      <c r="R129" s="178"/>
      <c r="S129" s="178"/>
      <c r="T129" s="84"/>
      <c r="U129" s="178"/>
      <c r="V129" s="84"/>
      <c r="W129" s="78"/>
      <c r="X129" s="78"/>
      <c r="Y129" s="78"/>
      <c r="Z129" s="78"/>
      <c r="AA129" s="171"/>
      <c r="AB129" s="89"/>
      <c r="AC129" s="84"/>
      <c r="AD129" s="78"/>
      <c r="AE129" s="78"/>
      <c r="AF129" s="78"/>
      <c r="AG129" s="78"/>
      <c r="AH129" s="78"/>
      <c r="AI129" s="89"/>
      <c r="AJ129" s="84"/>
      <c r="AK129" s="78"/>
      <c r="AL129" s="78"/>
      <c r="AM129" s="78"/>
      <c r="AN129" s="89"/>
      <c r="AO129" s="84"/>
      <c r="AP129" s="78"/>
      <c r="AQ129" s="78"/>
      <c r="AR129" s="78"/>
      <c r="AS129" s="78"/>
      <c r="AT129" s="78"/>
      <c r="AU129" s="89"/>
      <c r="AV129" s="84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91"/>
      <c r="BN129" s="91"/>
      <c r="BO129" s="91"/>
      <c r="BP129" s="91"/>
      <c r="BR129" s="91"/>
      <c r="BS129" s="91"/>
    </row>
    <row r="130" spans="2:71" x14ac:dyDescent="0.2">
      <c r="B130" s="85"/>
      <c r="C130" s="86"/>
      <c r="D130" s="6"/>
      <c r="F130" s="84"/>
      <c r="G130" s="84"/>
      <c r="H130" s="40"/>
      <c r="I130" s="70"/>
      <c r="J130" s="70"/>
      <c r="K130" s="70"/>
      <c r="L130" s="70"/>
      <c r="M130" s="70"/>
      <c r="N130" s="84"/>
      <c r="O130" s="84"/>
      <c r="P130" s="84"/>
      <c r="Q130" s="40"/>
      <c r="R130" s="178"/>
      <c r="S130" s="178"/>
      <c r="T130" s="84"/>
      <c r="U130" s="178"/>
      <c r="V130" s="84"/>
      <c r="W130" s="78"/>
      <c r="X130" s="78"/>
      <c r="Y130" s="78"/>
      <c r="Z130" s="78"/>
      <c r="AA130" s="171"/>
      <c r="AB130" s="89"/>
      <c r="AC130" s="84"/>
      <c r="AD130" s="78"/>
      <c r="AE130" s="78"/>
      <c r="AF130" s="78"/>
      <c r="AG130" s="78"/>
      <c r="AH130" s="78"/>
      <c r="AI130" s="89"/>
      <c r="AJ130" s="84"/>
      <c r="AK130" s="78"/>
      <c r="AL130" s="78"/>
      <c r="AM130" s="78"/>
      <c r="AN130" s="89"/>
      <c r="AO130" s="84"/>
      <c r="AP130" s="78"/>
      <c r="AQ130" s="78"/>
      <c r="AR130" s="78"/>
      <c r="AS130" s="78"/>
      <c r="AT130" s="78"/>
      <c r="AU130" s="89"/>
      <c r="AV130" s="84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91"/>
      <c r="BN130" s="91"/>
      <c r="BO130" s="91"/>
      <c r="BP130" s="91"/>
      <c r="BR130" s="91"/>
      <c r="BS130" s="91"/>
    </row>
    <row r="131" spans="2:71" x14ac:dyDescent="0.2">
      <c r="B131" s="85"/>
      <c r="C131" s="86"/>
      <c r="D131" s="6"/>
      <c r="F131" s="84"/>
      <c r="G131" s="84"/>
      <c r="H131" s="40"/>
      <c r="I131" s="70"/>
      <c r="J131" s="70"/>
      <c r="K131" s="70"/>
      <c r="L131" s="70"/>
      <c r="M131" s="70"/>
      <c r="N131" s="84"/>
      <c r="O131" s="84"/>
      <c r="P131" s="84"/>
      <c r="Q131" s="40"/>
      <c r="R131" s="178"/>
      <c r="S131" s="178"/>
      <c r="T131" s="84"/>
      <c r="U131" s="178"/>
      <c r="V131" s="84"/>
      <c r="W131" s="78"/>
      <c r="X131" s="78"/>
      <c r="Y131" s="78"/>
      <c r="Z131" s="78"/>
      <c r="AA131" s="171"/>
      <c r="AB131" s="89"/>
      <c r="AC131" s="84"/>
      <c r="AD131" s="78"/>
      <c r="AE131" s="78"/>
      <c r="AF131" s="78"/>
      <c r="AG131" s="78"/>
      <c r="AH131" s="78"/>
      <c r="AI131" s="89"/>
      <c r="AJ131" s="84"/>
      <c r="AK131" s="78"/>
      <c r="AL131" s="78"/>
      <c r="AM131" s="78"/>
      <c r="AN131" s="89"/>
      <c r="AO131" s="84"/>
      <c r="AP131" s="78"/>
      <c r="AQ131" s="78"/>
      <c r="AR131" s="78"/>
      <c r="AS131" s="78"/>
      <c r="AT131" s="78"/>
      <c r="AU131" s="89"/>
      <c r="AV131" s="84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91"/>
      <c r="BN131" s="91"/>
      <c r="BO131" s="91"/>
      <c r="BP131" s="91"/>
      <c r="BR131" s="91"/>
      <c r="BS131" s="91"/>
    </row>
    <row r="132" spans="2:71" x14ac:dyDescent="0.2">
      <c r="B132" s="85"/>
      <c r="C132" s="86"/>
      <c r="D132" s="6"/>
      <c r="F132" s="84"/>
      <c r="G132" s="84"/>
      <c r="H132" s="40"/>
      <c r="I132" s="70"/>
      <c r="J132" s="70"/>
      <c r="K132" s="70"/>
      <c r="L132" s="70"/>
      <c r="M132" s="70"/>
      <c r="N132" s="84"/>
      <c r="O132" s="84"/>
      <c r="P132" s="84"/>
      <c r="Q132" s="40"/>
      <c r="R132" s="178"/>
      <c r="S132" s="178"/>
      <c r="T132" s="84"/>
      <c r="U132" s="178"/>
      <c r="V132" s="84"/>
      <c r="W132" s="78"/>
      <c r="X132" s="78"/>
      <c r="Y132" s="78"/>
      <c r="Z132" s="78"/>
      <c r="AA132" s="171"/>
      <c r="AB132" s="89"/>
      <c r="AC132" s="84"/>
      <c r="AD132" s="78"/>
      <c r="AE132" s="78"/>
      <c r="AF132" s="78"/>
      <c r="AG132" s="78"/>
      <c r="AH132" s="78"/>
      <c r="AI132" s="89"/>
      <c r="AJ132" s="84"/>
      <c r="AK132" s="78"/>
      <c r="AL132" s="78"/>
      <c r="AM132" s="78"/>
      <c r="AN132" s="89"/>
      <c r="AO132" s="84"/>
      <c r="AP132" s="78"/>
      <c r="AQ132" s="78"/>
      <c r="AR132" s="78"/>
      <c r="AS132" s="78"/>
      <c r="AT132" s="78"/>
      <c r="AU132" s="89"/>
      <c r="AV132" s="84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91"/>
      <c r="BN132" s="91"/>
      <c r="BO132" s="91"/>
      <c r="BP132" s="91"/>
      <c r="BR132" s="91"/>
      <c r="BS132" s="91"/>
    </row>
    <row r="133" spans="2:71" x14ac:dyDescent="0.2">
      <c r="B133" s="85"/>
      <c r="C133" s="86"/>
      <c r="D133" s="6"/>
      <c r="F133" s="84"/>
      <c r="G133" s="84"/>
      <c r="H133" s="40"/>
      <c r="I133" s="70"/>
      <c r="J133" s="70"/>
      <c r="K133" s="70"/>
      <c r="L133" s="70"/>
      <c r="M133" s="70"/>
      <c r="N133" s="84"/>
      <c r="O133" s="84"/>
      <c r="P133" s="84"/>
      <c r="Q133" s="40"/>
      <c r="R133" s="178"/>
      <c r="S133" s="178"/>
      <c r="T133" s="84"/>
      <c r="U133" s="178"/>
      <c r="V133" s="84"/>
      <c r="W133" s="78"/>
      <c r="X133" s="78"/>
      <c r="Y133" s="78"/>
      <c r="Z133" s="78"/>
      <c r="AA133" s="171"/>
      <c r="AB133" s="89"/>
      <c r="AC133" s="84"/>
      <c r="AD133" s="78"/>
      <c r="AE133" s="78"/>
      <c r="AF133" s="78"/>
      <c r="AG133" s="78"/>
      <c r="AH133" s="78"/>
      <c r="AI133" s="89"/>
      <c r="AJ133" s="84"/>
      <c r="AK133" s="78"/>
      <c r="AL133" s="78"/>
      <c r="AM133" s="78"/>
      <c r="AN133" s="89"/>
      <c r="AO133" s="84"/>
      <c r="AP133" s="78"/>
      <c r="AQ133" s="78"/>
      <c r="AR133" s="78"/>
      <c r="AS133" s="78"/>
      <c r="AT133" s="78"/>
      <c r="AU133" s="89"/>
      <c r="AV133" s="84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91"/>
      <c r="BN133" s="91"/>
      <c r="BO133" s="91"/>
      <c r="BP133" s="91"/>
      <c r="BR133" s="91"/>
      <c r="BS133" s="91"/>
    </row>
    <row r="134" spans="2:71" x14ac:dyDescent="0.2">
      <c r="B134" s="85"/>
      <c r="C134" s="86"/>
      <c r="D134" s="6"/>
      <c r="F134" s="84"/>
      <c r="G134" s="84"/>
      <c r="H134" s="40"/>
      <c r="I134" s="70"/>
      <c r="J134" s="70"/>
      <c r="K134" s="70"/>
      <c r="L134" s="70"/>
      <c r="M134" s="70"/>
      <c r="N134" s="84"/>
      <c r="O134" s="84"/>
      <c r="P134" s="84"/>
      <c r="Q134" s="40"/>
      <c r="R134" s="178"/>
      <c r="S134" s="178"/>
      <c r="T134" s="84"/>
      <c r="U134" s="178"/>
      <c r="V134" s="84"/>
      <c r="W134" s="78"/>
      <c r="X134" s="78"/>
      <c r="Y134" s="78"/>
      <c r="Z134" s="78"/>
      <c r="AA134" s="171"/>
      <c r="AB134" s="89"/>
      <c r="AC134" s="84"/>
      <c r="AD134" s="78"/>
      <c r="AE134" s="78"/>
      <c r="AF134" s="78"/>
      <c r="AG134" s="78"/>
      <c r="AH134" s="78"/>
      <c r="AI134" s="89"/>
      <c r="AJ134" s="84"/>
      <c r="AK134" s="78"/>
      <c r="AL134" s="78"/>
      <c r="AM134" s="78"/>
      <c r="AN134" s="89"/>
      <c r="AO134" s="84"/>
      <c r="AP134" s="78"/>
      <c r="AQ134" s="78"/>
      <c r="AR134" s="78"/>
      <c r="AS134" s="78"/>
      <c r="AT134" s="78"/>
      <c r="AU134" s="89"/>
      <c r="AV134" s="84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91"/>
      <c r="BN134" s="91"/>
      <c r="BO134" s="91"/>
      <c r="BP134" s="91"/>
      <c r="BR134" s="91"/>
      <c r="BS134" s="91"/>
    </row>
    <row r="135" spans="2:71" x14ac:dyDescent="0.2">
      <c r="B135" s="85"/>
      <c r="C135" s="86"/>
      <c r="D135" s="6"/>
      <c r="F135" s="84"/>
      <c r="G135" s="84"/>
      <c r="H135" s="40"/>
      <c r="I135" s="70"/>
      <c r="J135" s="70"/>
      <c r="K135" s="70"/>
      <c r="L135" s="70"/>
      <c r="M135" s="70"/>
      <c r="N135" s="84"/>
      <c r="O135" s="84"/>
      <c r="P135" s="84"/>
      <c r="Q135" s="40"/>
      <c r="R135" s="178"/>
      <c r="S135" s="178"/>
      <c r="T135" s="84"/>
      <c r="U135" s="178"/>
      <c r="V135" s="84"/>
      <c r="W135" s="78"/>
      <c r="X135" s="78"/>
      <c r="Y135" s="78"/>
      <c r="Z135" s="78"/>
      <c r="AA135" s="171"/>
      <c r="AB135" s="89"/>
      <c r="AC135" s="84"/>
      <c r="AD135" s="78"/>
      <c r="AE135" s="78"/>
      <c r="AF135" s="78"/>
      <c r="AG135" s="78"/>
      <c r="AH135" s="78"/>
      <c r="AI135" s="89"/>
      <c r="AJ135" s="84"/>
      <c r="AK135" s="78"/>
      <c r="AL135" s="78"/>
      <c r="AM135" s="78"/>
      <c r="AN135" s="89"/>
      <c r="AO135" s="84"/>
      <c r="AP135" s="78"/>
      <c r="AQ135" s="78"/>
      <c r="AR135" s="78"/>
      <c r="AS135" s="78"/>
      <c r="AT135" s="78"/>
      <c r="AU135" s="89"/>
      <c r="AV135" s="84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91"/>
      <c r="BN135" s="91"/>
      <c r="BO135" s="91"/>
      <c r="BP135" s="91"/>
      <c r="BR135" s="91"/>
      <c r="BS135" s="91"/>
    </row>
    <row r="136" spans="2:71" x14ac:dyDescent="0.2">
      <c r="B136" s="85"/>
      <c r="C136" s="86"/>
      <c r="D136" s="6"/>
      <c r="F136" s="84"/>
      <c r="G136" s="84"/>
      <c r="H136" s="40"/>
      <c r="I136" s="70"/>
      <c r="J136" s="70"/>
      <c r="K136" s="70"/>
      <c r="L136" s="70"/>
      <c r="M136" s="70"/>
      <c r="N136" s="84"/>
      <c r="O136" s="84"/>
      <c r="P136" s="84"/>
      <c r="Q136" s="40"/>
      <c r="R136" s="178"/>
      <c r="S136" s="178"/>
      <c r="T136" s="84"/>
      <c r="U136" s="178"/>
      <c r="V136" s="84"/>
      <c r="W136" s="78"/>
      <c r="X136" s="78"/>
      <c r="Y136" s="78"/>
      <c r="Z136" s="78"/>
      <c r="AA136" s="171"/>
      <c r="AB136" s="89"/>
      <c r="AC136" s="84"/>
      <c r="AD136" s="78"/>
      <c r="AE136" s="78"/>
      <c r="AF136" s="78"/>
      <c r="AG136" s="78"/>
      <c r="AH136" s="78"/>
      <c r="AI136" s="89"/>
      <c r="AJ136" s="84"/>
      <c r="AK136" s="78"/>
      <c r="AL136" s="78"/>
      <c r="AM136" s="78"/>
      <c r="AN136" s="89"/>
      <c r="AO136" s="84"/>
      <c r="AP136" s="78"/>
      <c r="AQ136" s="78"/>
      <c r="AR136" s="78"/>
      <c r="AS136" s="78"/>
      <c r="AT136" s="78"/>
      <c r="AU136" s="89"/>
      <c r="AV136" s="84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91"/>
      <c r="BN136" s="91"/>
      <c r="BO136" s="91"/>
      <c r="BP136" s="91"/>
      <c r="BR136" s="91"/>
      <c r="BS136" s="91"/>
    </row>
    <row r="137" spans="2:71" x14ac:dyDescent="0.2">
      <c r="B137" s="85"/>
      <c r="C137" s="86"/>
      <c r="D137" s="6"/>
      <c r="F137" s="84"/>
      <c r="G137" s="84"/>
      <c r="H137" s="40"/>
      <c r="I137" s="70"/>
      <c r="J137" s="70"/>
      <c r="K137" s="70"/>
      <c r="L137" s="70"/>
      <c r="M137" s="70"/>
      <c r="N137" s="84"/>
      <c r="O137" s="84"/>
      <c r="P137" s="84"/>
      <c r="Q137" s="40"/>
      <c r="R137" s="178"/>
      <c r="S137" s="178"/>
      <c r="T137" s="84"/>
      <c r="U137" s="178"/>
      <c r="V137" s="84"/>
      <c r="W137" s="78"/>
      <c r="X137" s="78"/>
      <c r="Y137" s="78"/>
      <c r="Z137" s="78"/>
      <c r="AA137" s="171"/>
      <c r="AB137" s="89"/>
      <c r="AC137" s="84"/>
      <c r="AD137" s="78"/>
      <c r="AE137" s="78"/>
      <c r="AF137" s="78"/>
      <c r="AG137" s="78"/>
      <c r="AH137" s="78"/>
      <c r="AI137" s="89"/>
      <c r="AJ137" s="84"/>
      <c r="AK137" s="78"/>
      <c r="AL137" s="78"/>
      <c r="AM137" s="78"/>
      <c r="AN137" s="89"/>
      <c r="AO137" s="84"/>
      <c r="AP137" s="78"/>
      <c r="AQ137" s="78"/>
      <c r="AR137" s="78"/>
      <c r="AS137" s="78"/>
      <c r="AT137" s="78"/>
      <c r="AU137" s="89"/>
      <c r="AV137" s="84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91"/>
      <c r="BN137" s="91"/>
      <c r="BO137" s="91"/>
      <c r="BP137" s="91"/>
      <c r="BR137" s="91"/>
      <c r="BS137" s="91"/>
    </row>
    <row r="138" spans="2:71" x14ac:dyDescent="0.2">
      <c r="B138" s="85"/>
      <c r="C138" s="86"/>
      <c r="D138" s="6"/>
      <c r="F138" s="84"/>
      <c r="G138" s="84"/>
      <c r="H138" s="40"/>
      <c r="I138" s="70"/>
      <c r="J138" s="70"/>
      <c r="K138" s="70"/>
      <c r="L138" s="70"/>
      <c r="M138" s="70"/>
      <c r="N138" s="84"/>
      <c r="O138" s="84"/>
      <c r="P138" s="84"/>
      <c r="Q138" s="40"/>
      <c r="R138" s="178"/>
      <c r="S138" s="178"/>
      <c r="T138" s="84"/>
      <c r="U138" s="178"/>
      <c r="V138" s="84"/>
      <c r="W138" s="78"/>
      <c r="X138" s="78"/>
      <c r="Y138" s="78"/>
      <c r="Z138" s="78"/>
      <c r="AA138" s="171"/>
      <c r="AB138" s="89"/>
      <c r="AC138" s="84"/>
      <c r="AD138" s="78"/>
      <c r="AE138" s="78"/>
      <c r="AF138" s="78"/>
      <c r="AG138" s="78"/>
      <c r="AH138" s="78"/>
      <c r="AI138" s="89"/>
      <c r="AJ138" s="84"/>
      <c r="AK138" s="78"/>
      <c r="AL138" s="78"/>
      <c r="AM138" s="78"/>
      <c r="AN138" s="89"/>
      <c r="AO138" s="84"/>
      <c r="AP138" s="78"/>
      <c r="AQ138" s="78"/>
      <c r="AR138" s="78"/>
      <c r="AS138" s="78"/>
      <c r="AT138" s="78"/>
      <c r="AU138" s="89"/>
      <c r="AV138" s="84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91"/>
      <c r="BN138" s="91"/>
      <c r="BO138" s="91"/>
      <c r="BP138" s="91"/>
      <c r="BR138" s="91"/>
      <c r="BS138" s="91"/>
    </row>
    <row r="139" spans="2:71" x14ac:dyDescent="0.2">
      <c r="B139" s="85"/>
      <c r="C139" s="86"/>
      <c r="D139" s="6"/>
      <c r="F139" s="84"/>
      <c r="G139" s="84"/>
      <c r="H139" s="40"/>
      <c r="I139" s="70"/>
      <c r="J139" s="70"/>
      <c r="K139" s="70"/>
      <c r="L139" s="70"/>
      <c r="M139" s="70"/>
      <c r="N139" s="84"/>
      <c r="O139" s="84"/>
      <c r="P139" s="84"/>
      <c r="Q139" s="40"/>
      <c r="R139" s="178"/>
      <c r="S139" s="178"/>
      <c r="T139" s="84"/>
      <c r="U139" s="178"/>
      <c r="V139" s="84"/>
      <c r="W139" s="78"/>
      <c r="X139" s="78"/>
      <c r="Y139" s="78"/>
      <c r="Z139" s="78"/>
      <c r="AA139" s="171"/>
      <c r="AB139" s="89"/>
      <c r="AC139" s="84"/>
      <c r="AD139" s="78"/>
      <c r="AE139" s="78"/>
      <c r="AF139" s="78"/>
      <c r="AG139" s="78"/>
      <c r="AH139" s="78"/>
      <c r="AI139" s="89"/>
      <c r="AJ139" s="84"/>
      <c r="AK139" s="78"/>
      <c r="AL139" s="78"/>
      <c r="AM139" s="78"/>
      <c r="AN139" s="89"/>
      <c r="AO139" s="84"/>
      <c r="AP139" s="78"/>
      <c r="AQ139" s="78"/>
      <c r="AR139" s="78"/>
      <c r="AS139" s="78"/>
      <c r="AT139" s="78"/>
      <c r="AU139" s="89"/>
      <c r="AV139" s="84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91"/>
      <c r="BN139" s="91"/>
      <c r="BO139" s="91"/>
      <c r="BP139" s="91"/>
      <c r="BR139" s="91"/>
      <c r="BS139" s="91"/>
    </row>
  </sheetData>
  <mergeCells count="38">
    <mergeCell ref="B13:D13"/>
    <mergeCell ref="B74:D74"/>
    <mergeCell ref="B84:D84"/>
    <mergeCell ref="BR10:BS10"/>
    <mergeCell ref="BM10:BO10"/>
    <mergeCell ref="B18:D18"/>
    <mergeCell ref="B29:D29"/>
    <mergeCell ref="B37:D37"/>
    <mergeCell ref="B41:D41"/>
    <mergeCell ref="B51:D51"/>
    <mergeCell ref="B56:D56"/>
    <mergeCell ref="B14:D16"/>
    <mergeCell ref="F14:O16"/>
    <mergeCell ref="AU10:AW10"/>
    <mergeCell ref="B10:D10"/>
    <mergeCell ref="F10:N10"/>
    <mergeCell ref="BZ10:CA10"/>
    <mergeCell ref="CC10:CD10"/>
    <mergeCell ref="BM9:BO9"/>
    <mergeCell ref="BR9:BS9"/>
    <mergeCell ref="CJ10:CJ11"/>
    <mergeCell ref="BU9:CD9"/>
    <mergeCell ref="CF10:CF11"/>
    <mergeCell ref="CH10:CH11"/>
    <mergeCell ref="BU10:BX10"/>
    <mergeCell ref="B4:D7"/>
    <mergeCell ref="AY8:BH8"/>
    <mergeCell ref="U9:AW9"/>
    <mergeCell ref="AY9:BA9"/>
    <mergeCell ref="BB9:BD9"/>
    <mergeCell ref="BE9:BH9"/>
    <mergeCell ref="U5:Y5"/>
    <mergeCell ref="U6:Y6"/>
    <mergeCell ref="U10:Y10"/>
    <mergeCell ref="AB10:AF10"/>
    <mergeCell ref="AI10:AM10"/>
    <mergeCell ref="BI8:BK8"/>
    <mergeCell ref="BI9:BK9"/>
  </mergeCells>
  <pageMargins left="0.7" right="0.7" top="0.75" bottom="0.75" header="0.3" footer="0.3"/>
  <pageSetup paperSize="9" orientation="portrait" r:id="rId1"/>
  <ignoredErrors>
    <ignoredError sqref="AV18:AV82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L22"/>
  <sheetViews>
    <sheetView showGridLines="0" workbookViewId="0">
      <selection activeCell="E20" sqref="E20"/>
    </sheetView>
  </sheetViews>
  <sheetFormatPr baseColWidth="10" defaultRowHeight="12.75" x14ac:dyDescent="0.2"/>
  <cols>
    <col min="2" max="2" width="38.33203125" style="182" bestFit="1" customWidth="1"/>
    <col min="3" max="5" width="18.1640625" style="182" customWidth="1"/>
    <col min="7" max="8" width="19.6640625" customWidth="1"/>
    <col min="9" max="9" width="14.6640625" customWidth="1"/>
    <col min="10" max="10" width="17.6640625" bestFit="1" customWidth="1"/>
    <col min="11" max="11" width="15.83203125" bestFit="1" customWidth="1"/>
    <col min="12" max="12" width="16.83203125" bestFit="1" customWidth="1"/>
  </cols>
  <sheetData>
    <row r="2" spans="2:12" x14ac:dyDescent="0.2">
      <c r="C2" s="239" t="s">
        <v>83</v>
      </c>
      <c r="D2" s="239" t="s">
        <v>69</v>
      </c>
      <c r="E2" s="239" t="s">
        <v>84</v>
      </c>
    </row>
    <row r="3" spans="2:12" x14ac:dyDescent="0.2">
      <c r="B3" s="241" t="s">
        <v>85</v>
      </c>
      <c r="C3" s="187">
        <f>E3-D3</f>
        <v>2778.9829899999995</v>
      </c>
      <c r="D3" s="187">
        <f>('Bedarfsanalyse (Rahmenplan)'!BM22+'Bedarfsanalyse (Rahmenplan)'!BM25+'Bedarfsanalyse (Rahmenplan)'!BM30+'Bedarfsanalyse (Rahmenplan)'!BM31+'Bedarfsanalyse (Rahmenplan)'!BM32+'Bedarfsanalyse (Rahmenplan)'!BM33+'Bedarfsanalyse (Rahmenplan)'!BM65+'Bedarfsanalyse (Rahmenplan)'!BM66+'Bedarfsanalyse (Rahmenplan)'!BM67+'Bedarfsanalyse (Rahmenplan)'!BM68+'Bedarfsanalyse (Rahmenplan)'!BM69)/1000</f>
        <v>1466.5033000000001</v>
      </c>
      <c r="E3" s="187">
        <f>'Bedarfsanalyse (Rahmenplan)'!BM12</f>
        <v>4245.4862899999998</v>
      </c>
      <c r="F3" s="180"/>
    </row>
    <row r="4" spans="2:12" x14ac:dyDescent="0.2">
      <c r="B4" s="241" t="s">
        <v>21</v>
      </c>
      <c r="C4" s="187">
        <f>E4-D4</f>
        <v>882.69882500000006</v>
      </c>
      <c r="D4" s="187">
        <f>(SUM('Bedarfsanalyse (Rahmenplan)'!BN65:BN69)+SUM('Bedarfsanalyse (Rahmenplan)'!BN30:BN33)+'Bedarfsanalyse (Rahmenplan)'!BN22+'Bedarfsanalyse (Rahmenplan)'!BN25)/1000</f>
        <v>41.345274999999994</v>
      </c>
      <c r="E4" s="187">
        <f>'Bedarfsanalyse (Rahmenplan)'!BN12</f>
        <v>924.04410000000007</v>
      </c>
      <c r="F4" s="180"/>
    </row>
    <row r="5" spans="2:12" x14ac:dyDescent="0.2">
      <c r="B5" s="241" t="s">
        <v>123</v>
      </c>
      <c r="C5" s="188">
        <f>'Bedarfsanalyse (Rahmenplan)'!G7</f>
        <v>199076.5</v>
      </c>
      <c r="D5" s="188">
        <f>'Bedarfsanalyse (Rahmenplan)'!G8</f>
        <v>23157.1</v>
      </c>
      <c r="E5" s="188">
        <f>'Bedarfsanalyse (Rahmenplan)'!N12</f>
        <v>169648.6</v>
      </c>
      <c r="F5" s="180"/>
    </row>
    <row r="6" spans="2:12" x14ac:dyDescent="0.2">
      <c r="B6" s="241" t="s">
        <v>125</v>
      </c>
      <c r="C6" s="187">
        <f>E6-D6</f>
        <v>5185.954925</v>
      </c>
      <c r="D6" s="187">
        <f>('Bedarfsanalyse (Rahmenplan)'!BO22+'Bedarfsanalyse (Rahmenplan)'!BO25+'Bedarfsanalyse (Rahmenplan)'!BO30+'Bedarfsanalyse (Rahmenplan)'!BO31+'Bedarfsanalyse (Rahmenplan)'!BO32+'Bedarfsanalyse (Rahmenplan)'!BO33+'Bedarfsanalyse (Rahmenplan)'!BO65+'Bedarfsanalyse (Rahmenplan)'!BO66+'Bedarfsanalyse (Rahmenplan)'!BO67+'Bedarfsanalyse (Rahmenplan)'!BO68+'Bedarfsanalyse (Rahmenplan)'!BO69)/1000</f>
        <v>1792.6453250000002</v>
      </c>
      <c r="E6" s="187">
        <f>'Bedarfsanalyse (Rahmenplan)'!BO12</f>
        <v>6978.6002500000004</v>
      </c>
      <c r="K6" s="183"/>
      <c r="L6" s="183"/>
    </row>
    <row r="7" spans="2:12" x14ac:dyDescent="0.2">
      <c r="B7" s="241"/>
      <c r="C7" s="187"/>
      <c r="D7" s="187"/>
      <c r="E7" s="187"/>
      <c r="K7" s="183"/>
      <c r="L7" s="183"/>
    </row>
    <row r="8" spans="2:12" x14ac:dyDescent="0.2">
      <c r="C8" s="327" t="s">
        <v>127</v>
      </c>
      <c r="D8" s="327"/>
      <c r="E8" s="327"/>
      <c r="F8" s="240"/>
      <c r="G8" s="327" t="s">
        <v>128</v>
      </c>
      <c r="H8" s="327"/>
      <c r="I8" s="327"/>
      <c r="K8" s="183"/>
      <c r="L8" s="183"/>
    </row>
    <row r="9" spans="2:12" x14ac:dyDescent="0.2">
      <c r="C9" s="239" t="s">
        <v>124</v>
      </c>
      <c r="D9" s="239" t="s">
        <v>126</v>
      </c>
      <c r="E9" s="239" t="s">
        <v>125</v>
      </c>
      <c r="F9" s="240"/>
      <c r="G9" s="239" t="s">
        <v>20</v>
      </c>
      <c r="H9" s="239" t="s">
        <v>21</v>
      </c>
      <c r="I9" s="239" t="s">
        <v>125</v>
      </c>
      <c r="K9" s="183"/>
      <c r="L9" s="183"/>
    </row>
    <row r="10" spans="2:12" x14ac:dyDescent="0.2">
      <c r="B10" s="242" t="s">
        <v>28</v>
      </c>
      <c r="C10" s="188">
        <f>'Bedarfsanalyse (Rahmenplan)'!I12</f>
        <v>30849.4</v>
      </c>
      <c r="D10" s="187">
        <f>'Bedarfsanalyse (Rahmenplan)'!AY12+'Bedarfsanalyse (Rahmenplan)'!BB12</f>
        <v>888.46271999999999</v>
      </c>
      <c r="E10" s="187">
        <f>'Bedarfsanalyse (Rahmenplan)'!BE12</f>
        <v>832.93380000000002</v>
      </c>
      <c r="G10" s="187">
        <f>'Bedarfsanalyse (Rahmenplan)'!AY12-('Bedarfsanalyse (Rahmenplan)'!AY22+'Bedarfsanalyse (Rahmenplan)'!AY25+'Bedarfsanalyse (Rahmenplan)'!AY30+'Bedarfsanalyse (Rahmenplan)'!AY31+'Bedarfsanalyse (Rahmenplan)'!AY32+'Bedarfsanalyse (Rahmenplan)'!AY33+'Bedarfsanalyse (Rahmenplan)'!AY65+'Bedarfsanalyse (Rahmenplan)'!AY66+'Bedarfsanalyse (Rahmenplan)'!AY67+'Bedarfsanalyse (Rahmenplan)'!AY68+'Bedarfsanalyse (Rahmenplan)'!AY69)/1000</f>
        <v>610.81812000000002</v>
      </c>
      <c r="H10" s="187">
        <f>'Bedarfsanalyse (Rahmenplan)'!BB12-('Bedarfsanalyse (Rahmenplan)'!BB22+'Bedarfsanalyse (Rahmenplan)'!BB25+'Bedarfsanalyse (Rahmenplan)'!BB30+'Bedarfsanalyse (Rahmenplan)'!BB31+'Bedarfsanalyse (Rahmenplan)'!BB32+'Bedarfsanalyse (Rahmenplan)'!BB33+'Bedarfsanalyse (Rahmenplan)'!BB65+'Bedarfsanalyse (Rahmenplan)'!BB66+'Bedarfsanalyse (Rahmenplan)'!BB67+'Bedarfsanalyse (Rahmenplan)'!BB68+'Bedarfsanalyse (Rahmenplan)'!BB69)/1000</f>
        <v>277.64459999999997</v>
      </c>
      <c r="I10" s="187">
        <f>'Bedarfsanalyse (Rahmenplan)'!BE12-('Bedarfsanalyse (Rahmenplan)'!BE22+'Bedarfsanalyse (Rahmenplan)'!BE25+'Bedarfsanalyse (Rahmenplan)'!BE30+'Bedarfsanalyse (Rahmenplan)'!BE31+'Bedarfsanalyse (Rahmenplan)'!BE32+'Bedarfsanalyse (Rahmenplan)'!BE33+'Bedarfsanalyse (Rahmenplan)'!BE65+'Bedarfsanalyse (Rahmenplan)'!BE66+'Bedarfsanalyse (Rahmenplan)'!BE67+'Bedarfsanalyse (Rahmenplan)'!BE68+'Bedarfsanalyse (Rahmenplan)'!BE69)/1000</f>
        <v>832.93380000000002</v>
      </c>
      <c r="K10" s="183"/>
      <c r="L10" s="183"/>
    </row>
    <row r="11" spans="2:12" x14ac:dyDescent="0.2">
      <c r="B11" s="241" t="s">
        <v>29</v>
      </c>
      <c r="C11" s="188">
        <f>'Bedarfsanalyse (Rahmenplan)'!J12</f>
        <v>124598.79999999999</v>
      </c>
      <c r="D11" s="187">
        <f>'Bedarfsanalyse (Rahmenplan)'!AZ12+'Bedarfsanalyse (Rahmenplan)'!BC12</f>
        <v>7320.2248200000004</v>
      </c>
      <c r="E11" s="187">
        <f>+'Bedarfsanalyse (Rahmenplan)'!BF12</f>
        <v>5296.4494500000001</v>
      </c>
      <c r="G11" s="187">
        <f>'Bedarfsanalyse (Rahmenplan)'!AZ12-('Bedarfsanalyse (Rahmenplan)'!AZ22+'Bedarfsanalyse (Rahmenplan)'!AZ25+'Bedarfsanalyse (Rahmenplan)'!AZ30+'Bedarfsanalyse (Rahmenplan)'!AZ31+'Bedarfsanalyse (Rahmenplan)'!AZ32+'Bedarfsanalyse (Rahmenplan)'!AZ33+'Bedarfsanalyse (Rahmenplan)'!AZ65+'Bedarfsanalyse (Rahmenplan)'!AZ66+'Bedarfsanalyse (Rahmenplan)'!AZ67+'Bedarfsanalyse (Rahmenplan)'!AZ68+'Bedarfsanalyse (Rahmenplan)'!AZ69)/1000</f>
        <v>1924.9798700000006</v>
      </c>
      <c r="H11" s="187">
        <f>'Bedarfsanalyse (Rahmenplan)'!BC12-('Bedarfsanalyse (Rahmenplan)'!BC22+'Bedarfsanalyse (Rahmenplan)'!BC25+'Bedarfsanalyse (Rahmenplan)'!BC30+'Bedarfsanalyse (Rahmenplan)'!BC31+'Bedarfsanalyse (Rahmenplan)'!BC32+'Bedarfsanalyse (Rahmenplan)'!BC33+'Bedarfsanalyse (Rahmenplan)'!BC65+'Bedarfsanalyse (Rahmenplan)'!BC66+'Bedarfsanalyse (Rahmenplan)'!BC67+'Bedarfsanalyse (Rahmenplan)'!BC68+'Bedarfsanalyse (Rahmenplan)'!BC69)/1000</f>
        <v>476.3429749999998</v>
      </c>
      <c r="I11" s="187">
        <f>'Bedarfsanalyse (Rahmenplan)'!BF12-('Bedarfsanalyse (Rahmenplan)'!BF22+'Bedarfsanalyse (Rahmenplan)'!BF25+'Bedarfsanalyse (Rahmenplan)'!BF30+'Bedarfsanalyse (Rahmenplan)'!BF31+'Bedarfsanalyse (Rahmenplan)'!BF32+'Bedarfsanalyse (Rahmenplan)'!BF33+'Bedarfsanalyse (Rahmenplan)'!BF65+'Bedarfsanalyse (Rahmenplan)'!BF66+'Bedarfsanalyse (Rahmenplan)'!BF67+'Bedarfsanalyse (Rahmenplan)'!BF68+'Bedarfsanalyse (Rahmenplan)'!BF69)/1000</f>
        <v>3567.4861249999999</v>
      </c>
      <c r="K11" s="183"/>
      <c r="L11" s="183"/>
    </row>
    <row r="12" spans="2:12" x14ac:dyDescent="0.2">
      <c r="B12" s="241" t="s">
        <v>30</v>
      </c>
      <c r="C12" s="188">
        <f>'Bedarfsanalyse (Rahmenplan)'!K12</f>
        <v>14200.4</v>
      </c>
      <c r="D12" s="187">
        <f>'Bedarfsanalyse (Rahmenplan)'!BA12+'Bedarfsanalyse (Rahmenplan)'!BD12</f>
        <v>576.23284999999998</v>
      </c>
      <c r="E12" s="187">
        <f>+'Bedarfsanalyse (Rahmenplan)'!BG12</f>
        <v>638.87699999999995</v>
      </c>
      <c r="G12" s="187">
        <f>'Bedarfsanalyse (Rahmenplan)'!BA12-('Bedarfsanalyse (Rahmenplan)'!BA22+'Bedarfsanalyse (Rahmenplan)'!BA25+'Bedarfsanalyse (Rahmenplan)'!BA30+'Bedarfsanalyse (Rahmenplan)'!BA31+'Bedarfsanalyse (Rahmenplan)'!BA32+'Bedarfsanalyse (Rahmenplan)'!BA33+'Bedarfsanalyse (Rahmenplan)'!BA65+'Bedarfsanalyse (Rahmenplan)'!BA66+'Bedarfsanalyse (Rahmenplan)'!BA67+'Bedarfsanalyse (Rahmenplan)'!BA68+'Bedarfsanalyse (Rahmenplan)'!BA69)/1000</f>
        <v>243.18500000000003</v>
      </c>
      <c r="H12" s="187">
        <f>'Bedarfsanalyse (Rahmenplan)'!BD12-('Bedarfsanalyse (Rahmenplan)'!BD22+'Bedarfsanalyse (Rahmenplan)'!BD25+'Bedarfsanalyse (Rahmenplan)'!BD30+'Bedarfsanalyse (Rahmenplan)'!BD31+'Bedarfsanalyse (Rahmenplan)'!BD32+'Bedarfsanalyse (Rahmenplan)'!BD33+'Bedarfsanalyse (Rahmenplan)'!BD65+'Bedarfsanalyse (Rahmenplan)'!BD66+'Bedarfsanalyse (Rahmenplan)'!BD67+'Bedarfsanalyse (Rahmenplan)'!BD68+'Bedarfsanalyse (Rahmenplan)'!BD69)/1000</f>
        <v>128.71124999999998</v>
      </c>
      <c r="I12" s="187">
        <f>'Bedarfsanalyse (Rahmenplan)'!BG12-('Bedarfsanalyse (Rahmenplan)'!BG22+'Bedarfsanalyse (Rahmenplan)'!BG25+'Bedarfsanalyse (Rahmenplan)'!BG30+'Bedarfsanalyse (Rahmenplan)'!BG31+'Bedarfsanalyse (Rahmenplan)'!BG32+'Bedarfsanalyse (Rahmenplan)'!BG33+'Bedarfsanalyse (Rahmenplan)'!BG65+'Bedarfsanalyse (Rahmenplan)'!BG66+'Bedarfsanalyse (Rahmenplan)'!BG67+'Bedarfsanalyse (Rahmenplan)'!BG68+'Bedarfsanalyse (Rahmenplan)'!BG69)/1000</f>
        <v>575.19499999999994</v>
      </c>
      <c r="K12" s="180"/>
      <c r="L12" s="180"/>
    </row>
    <row r="13" spans="2:12" x14ac:dyDescent="0.2">
      <c r="B13" s="241" t="s">
        <v>31</v>
      </c>
      <c r="C13" s="188">
        <f>'Bedarfsanalyse (Rahmenplan)'!L12</f>
        <v>52585</v>
      </c>
      <c r="D13" s="187">
        <v>0</v>
      </c>
      <c r="E13" s="187">
        <f>+'Bedarfsanalyse (Rahmenplan)'!BH12</f>
        <v>210.34</v>
      </c>
      <c r="G13" s="187">
        <v>0</v>
      </c>
      <c r="H13" s="187">
        <v>0</v>
      </c>
      <c r="I13" s="187">
        <f>+E13</f>
        <v>210.34</v>
      </c>
      <c r="K13" s="184"/>
      <c r="L13" s="184"/>
    </row>
    <row r="14" spans="2:12" ht="20.25" customHeight="1" x14ac:dyDescent="0.2">
      <c r="B14" s="241" t="s">
        <v>129</v>
      </c>
      <c r="C14" s="243">
        <f>SUM(C10:C13)</f>
        <v>222233.59999999998</v>
      </c>
      <c r="D14" s="244">
        <f>SUM(D10:D13)</f>
        <v>8784.9203900000011</v>
      </c>
      <c r="E14" s="244">
        <f>SUM(E10:E13)</f>
        <v>6978.6002499999995</v>
      </c>
      <c r="G14" s="244">
        <f>SUM(G10:G13)</f>
        <v>2778.9829900000004</v>
      </c>
      <c r="H14" s="244">
        <f>SUM(H10:H13)</f>
        <v>882.69882499999972</v>
      </c>
      <c r="I14" s="244">
        <f>SUM(I10:I13)</f>
        <v>5185.954925</v>
      </c>
      <c r="K14" s="184"/>
      <c r="L14" s="184"/>
    </row>
    <row r="15" spans="2:12" x14ac:dyDescent="0.2">
      <c r="B15" s="238"/>
      <c r="C15" s="188"/>
      <c r="D15" s="187"/>
      <c r="E15" s="187"/>
      <c r="K15" s="184"/>
      <c r="L15" s="184"/>
    </row>
    <row r="16" spans="2:12" x14ac:dyDescent="0.2">
      <c r="B16" s="238"/>
      <c r="C16" s="188"/>
      <c r="D16" s="187"/>
      <c r="E16" s="187"/>
      <c r="K16" s="184"/>
      <c r="L16" s="184"/>
    </row>
    <row r="17" spans="2:12" x14ac:dyDescent="0.2">
      <c r="B17" s="238"/>
      <c r="C17" s="188"/>
      <c r="D17" s="187"/>
      <c r="E17" s="187"/>
      <c r="K17" s="184"/>
      <c r="L17" s="184"/>
    </row>
    <row r="18" spans="2:12" x14ac:dyDescent="0.2">
      <c r="B18" s="238"/>
      <c r="C18" s="188"/>
      <c r="D18" s="187"/>
      <c r="E18" s="187"/>
      <c r="K18" s="184"/>
      <c r="L18" s="184"/>
    </row>
    <row r="22" spans="2:12" x14ac:dyDescent="0.2">
      <c r="C22" s="188"/>
      <c r="D22" s="188"/>
    </row>
  </sheetData>
  <mergeCells count="2">
    <mergeCell ref="C8:E8"/>
    <mergeCell ref="G8:I8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Bedarfsanalyse neu gemäß B-Plan</vt:lpstr>
      <vt:lpstr>Bedarfsanalyse (Rahmenplan)</vt:lpstr>
      <vt:lpstr>Grafiken (Rahmenplan)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Huwig</dc:creator>
  <cp:lastModifiedBy>P. Huwig</cp:lastModifiedBy>
  <dcterms:created xsi:type="dcterms:W3CDTF">2018-04-26T11:16:36Z</dcterms:created>
  <dcterms:modified xsi:type="dcterms:W3CDTF">2021-07-09T06:59:17Z</dcterms:modified>
</cp:coreProperties>
</file>